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Q:\CONFLICT MINERALS TEMPLATE\"/>
    </mc:Choice>
  </mc:AlternateContent>
  <xr:revisionPtr revIDLastSave="0" documentId="13_ncr:1_{818F94F9-DF0D-4BBA-B1D0-78AAD5665E55}" xr6:coauthVersionLast="36" xr6:coauthVersionMax="3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28800" windowHeight="124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C17" i="5" l="1"/>
  <c r="B17" i="5"/>
  <c r="B16" i="5"/>
  <c r="C16" i="5"/>
  <c r="C15" i="5"/>
  <c r="B15" i="5"/>
  <c r="C14" i="5"/>
  <c r="B14" i="5"/>
  <c r="C13" i="5"/>
  <c r="B13" i="5"/>
  <c r="B12" i="5"/>
  <c r="C12" i="5"/>
  <c r="C11" i="5"/>
  <c r="B11" i="5"/>
  <c r="C9" i="5"/>
  <c r="B9" i="5"/>
  <c r="C8" i="5"/>
  <c r="B8" i="5"/>
  <c r="C7" i="5"/>
  <c r="B7" i="5"/>
  <c r="C6" i="5"/>
  <c r="B6" i="5"/>
  <c r="C5" i="5"/>
  <c r="B5" i="5"/>
  <c r="C9" i="6"/>
  <c r="C8" i="6"/>
  <c r="C11"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AB6" i="5" l="1"/>
  <c r="V6" i="5"/>
  <c r="G6" i="5" s="1"/>
  <c r="AB5" i="5"/>
  <c r="V5" i="5"/>
  <c r="G5" i="5" s="1"/>
  <c r="H41" i="6"/>
  <c r="D41"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6" i="5" l="1"/>
  <c r="I6" i="5"/>
  <c r="H6" i="5"/>
  <c r="J6" i="5"/>
  <c r="F6" i="5"/>
  <c r="E6" i="5"/>
  <c r="H5" i="5"/>
  <c r="I5" i="5"/>
  <c r="R5" i="5"/>
  <c r="F5" i="5"/>
  <c r="E5" i="5"/>
  <c r="J5" i="5"/>
  <c r="C40" i="6"/>
  <c r="G68" i="6"/>
  <c r="H68" i="6" s="1"/>
  <c r="D68" i="6" s="1"/>
  <c r="C39" i="6"/>
  <c r="C35" i="6"/>
  <c r="C46" i="6"/>
  <c r="C34" i="6"/>
  <c r="D34" i="6"/>
  <c r="D31" i="6"/>
  <c r="C30" i="6"/>
  <c r="D30" i="6"/>
  <c r="C32" i="6"/>
  <c r="D32" i="6"/>
  <c r="R16" i="5"/>
  <c r="I16" i="5"/>
  <c r="H16" i="5"/>
  <c r="E16" i="5"/>
  <c r="J16" i="5"/>
  <c r="F16" i="5"/>
  <c r="R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7" i="5"/>
  <c r="T14" i="5"/>
  <c r="T5" i="5"/>
  <c r="T10" i="5"/>
  <c r="T13" i="5"/>
  <c r="T16" i="5"/>
  <c r="T11" i="5"/>
  <c r="T17" i="5"/>
  <c r="T8" i="5"/>
  <c r="T12" i="5"/>
  <c r="T9" i="5"/>
  <c r="T6" i="5"/>
  <c r="T15" i="5"/>
  <c r="X6" i="5" l="1"/>
  <c r="X5" i="5"/>
  <c r="C68" i="6"/>
  <c r="X13" i="5"/>
  <c r="X10" i="5"/>
  <c r="D65" i="6"/>
  <c r="X9" i="5"/>
  <c r="X12" i="5"/>
  <c r="X14" i="5"/>
  <c r="X17" i="5"/>
  <c r="D66" i="6"/>
  <c r="C67" i="6"/>
  <c r="X11" i="5"/>
  <c r="X15" i="5"/>
  <c r="X8" i="5"/>
  <c r="X7" i="5"/>
  <c r="G69" i="6"/>
  <c r="H69" i="6" s="1"/>
  <c r="H70" i="6" s="1"/>
  <c r="D2" i="6" s="1"/>
  <c r="X16" i="5"/>
  <c r="D55" i="6"/>
  <c r="C55" i="6"/>
  <c r="D56" i="6"/>
  <c r="C56" i="6"/>
  <c r="S9" i="5"/>
  <c r="S7" i="5"/>
  <c r="S12" i="5"/>
  <c r="S10" i="5"/>
  <c r="S13" i="5"/>
  <c r="S6" i="5"/>
  <c r="S11" i="5"/>
  <c r="S5" i="5"/>
  <c r="S14" i="5"/>
  <c r="S16" i="5"/>
  <c r="S17" i="5"/>
  <c r="S8"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<sst xmlns="http://schemas.openxmlformats.org/spreadsheetml/2006/main" count="21991" uniqueCount="15613">
  <si>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</si>
  <si>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</si>
  <si>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</si>
  <si>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</si>
  <si>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</si>
  <si>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</si>
  <si>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</si>
  <si>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</si>
  <si>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</si>
  <si>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</si>
  <si>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</si>
  <si>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</si>
  <si>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</si>
  <si>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</si>
  <si>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</si>
  <si>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</si>
  <si>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</si>
  <si>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</si>
  <si>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</si>
  <si>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</si>
  <si>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</si>
  <si>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</si>
  <si>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</si>
  <si>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</si>
  <si>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</si>
  <si>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</si>
  <si>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</si>
  <si>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</si>
  <si>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</si>
  <si>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</si>
  <si>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</si>
  <si>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</si>
  <si>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</si>
  <si>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</si>
  <si>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</si>
  <si>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</si>
  <si>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</si>
  <si>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</si>
  <si>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</si>
  <si>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</si>
  <si>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</si>
  <si>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</si>
  <si>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</si>
  <si>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</si>
  <si>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</si>
  <si>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</si>
  <si>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</si>
  <si>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</si>
  <si>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</si>
  <si>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</si>
  <si>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</si>
  <si>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</si>
  <si>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</si>
  <si>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</si>
  <si>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</si>
  <si>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</si>
  <si>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</si>
  <si>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</si>
  <si>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</si>
  <si>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</si>
  <si>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</si>
  <si>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</si>
  <si>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</si>
  <si>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</si>
  <si>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</si>
  <si>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</si>
  <si>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</si>
  <si>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</si>
  <si>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</si>
  <si>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</si>
  <si>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</si>
  <si>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</si>
  <si>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</si>
  <si>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</si>
  <si>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</si>
  <si>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</si>
  <si>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</si>
  <si>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</si>
  <si>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</si>
  <si>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</si>
  <si>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</si>
  <si>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</si>
  <si>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</si>
  <si>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</si>
  <si>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</si>
  <si>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</si>
  <si>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</si>
  <si>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</si>
  <si>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</si>
  <si>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</si>
  <si>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</si>
  <si>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</si>
  <si>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</si>
  <si>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</si>
  <si>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</si>
  <si>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</si>
  <si>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</si>
  <si>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</si>
  <si>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</si>
  <si>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</si>
  <si>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</si>
  <si>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</si>
  <si>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</si>
  <si>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</si>
  <si>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</si>
  <si>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</si>
  <si>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</si>
  <si>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</si>
  <si>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</si>
  <si>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</si>
  <si>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</si>
  <si>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</si>
  <si>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</si>
  <si>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</si>
  <si>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</si>
  <si>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</si>
  <si>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</si>
  <si>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</si>
  <si>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</si>
  <si>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</si>
  <si>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</si>
  <si>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</si>
  <si>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</si>
  <si>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</si>
  <si>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</si>
  <si>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</si>
  <si>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</si>
  <si>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</si>
  <si>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</si>
  <si>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</si>
  <si>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</si>
  <si>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</si>
  <si>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</si>
  <si>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</si>
  <si>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</si>
  <si>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</si>
  <si>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</si>
  <si>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</si>
  <si>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</si>
  <si>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</si>
  <si>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</si>
  <si>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</si>
  <si>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</si>
  <si>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</si>
  <si>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</si>
  <si>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</si>
  <si>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</si>
  <si>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</si>
  <si>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</si>
  <si>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</si>
  <si>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</si>
  <si>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</si>
  <si>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</si>
  <si>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</si>
  <si>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</si>
  <si>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</si>
  <si>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</si>
  <si>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</si>
  <si>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</si>
  <si>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</si>
  <si>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</si>
  <si>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</si>
  <si>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</si>
  <si>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</si>
  <si>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</si>
  <si>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</si>
  <si>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</si>
  <si>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</si>
  <si>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</si>
  <si>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</si>
  <si>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</si>
  <si>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</si>
  <si>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</si>
  <si>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</si>
  <si>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</si>
  <si>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</si>
  <si>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</si>
  <si>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</si>
  <si>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</si>
  <si>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</si>
  <si>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</si>
  <si>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</si>
  <si>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</si>
  <si>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</si>
  <si>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</si>
  <si>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</si>
  <si>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</si>
  <si>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</si>
  <si>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</si>
  <si>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</si>
  <si>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</si>
  <si>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</si>
  <si>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</si>
  <si>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</si>
  <si>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</si>
  <si>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</si>
  <si>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</si>
  <si>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</si>
  <si>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</si>
  <si>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</si>
  <si>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</si>
  <si>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</si>
  <si>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</si>
  <si>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</si>
  <si>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</si>
  <si>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</si>
  <si>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</si>
  <si>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</si>
  <si>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</si>
  <si>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</si>
  <si>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</si>
  <si>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</si>
  <si>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</si>
  <si>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</si>
  <si>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</si>
  <si>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</si>
  <si>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</si>
  <si>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</si>
  <si>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</si>
  <si>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</si>
  <si>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</si>
  <si>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</si>
  <si>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</si>
  <si>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</si>
  <si>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</si>
  <si>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</si>
  <si>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</si>
  <si>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</si>
  <si>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</si>
  <si>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</si>
  <si>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</si>
  <si>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</si>
  <si>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</si>
  <si>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</si>
  <si>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</si>
  <si>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</si>
  <si>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</si>
  <si>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</si>
  <si>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</si>
  <si>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</si>
  <si>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</si>
  <si>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</si>
  <si>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</si>
  <si>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</si>
  <si>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</si>
  <si>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</si>
  <si>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</si>
  <si>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</si>
  <si>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</si>
  <si>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</si>
  <si>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</si>
  <si>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</si>
  <si>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</si>
  <si>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</si>
  <si>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</si>
  <si>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</si>
  <si>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</si>
  <si>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</si>
  <si>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</si>
  <si>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</si>
  <si>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</si>
  <si>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</si>
  <si>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</si>
  <si>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</si>
  <si>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</si>
  <si>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</si>
  <si>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</si>
  <si>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</si>
  <si>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</si>
  <si>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</si>
  <si>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</si>
  <si>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</si>
  <si>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</si>
  <si>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</si>
  <si>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</si>
  <si>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</si>
  <si>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</si>
  <si>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</si>
  <si>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</si>
  <si>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</si>
  <si>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</si>
  <si>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</si>
  <si>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</si>
  <si>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</si>
  <si>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</si>
  <si>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</si>
  <si>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</si>
  <si>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</si>
  <si>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</si>
  <si>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</si>
  <si>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</si>
  <si>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</si>
  <si>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</si>
  <si>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</si>
  <si>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</si>
  <si>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</si>
  <si>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</si>
  <si>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</si>
  <si>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</si>
  <si>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</si>
  <si>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</si>
  <si>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</si>
  <si>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</si>
  <si>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</si>
  <si>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</si>
  <si>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</si>
  <si>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</si>
  <si>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</si>
  <si>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</si>
  <si>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</si>
  <si>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</si>
  <si>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</si>
  <si>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</si>
  <si>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</si>
  <si>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</si>
  <si>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</si>
  <si>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</si>
  <si>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</si>
  <si>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</si>
  <si>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</si>
  <si>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</si>
  <si>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</si>
  <si>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</si>
  <si>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</si>
  <si>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</si>
  <si>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</si>
  <si>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</si>
  <si>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</si>
  <si>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</si>
  <si>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</si>
  <si>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</si>
  <si>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</si>
  <si>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</si>
  <si>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</si>
  <si>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</si>
  <si>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</si>
  <si>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</si>
  <si>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</si>
  <si>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</si>
  <si>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</si>
  <si>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</si>
  <si>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</si>
  <si>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</si>
  <si>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</si>
  <si>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</si>
  <si>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</si>
  <si>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</si>
  <si>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</si>
  <si>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</si>
  <si>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</si>
  <si>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</si>
  <si>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</si>
  <si>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</si>
  <si>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</si>
  <si>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</si>
  <si>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</si>
  <si>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</si>
  <si>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</si>
  <si>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</si>
  <si>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</si>
  <si>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</si>
  <si>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</si>
  <si>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</si>
  <si>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</si>
  <si>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</si>
  <si>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</si>
  <si>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</si>
  <si>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</si>
  <si>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</si>
  <si>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</si>
  <si>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</si>
  <si>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</si>
  <si>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</si>
  <si>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</si>
  <si>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</si>
  <si>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</si>
  <si>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</si>
  <si>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</si>
  <si>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</si>
  <si>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</si>
  <si>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</si>
  <si>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</si>
  <si>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</si>
  <si>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</si>
  <si>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</si>
  <si>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</si>
  <si>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</si>
  <si>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</si>
  <si>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</si>
  <si>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</si>
  <si>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</si>
  <si>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</si>
  <si>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</si>
  <si>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</si>
  <si>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</si>
  <si>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</si>
  <si>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</si>
  <si>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</si>
  <si>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</si>
  <si>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</si>
  <si>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</si>
  <si>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</si>
  <si>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</si>
  <si>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</si>
  <si>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</si>
  <si>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</si>
  <si>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</si>
  <si>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</si>
  <si>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</si>
  <si>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</si>
  <si>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</si>
  <si>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</si>
  <si>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</si>
  <si>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</si>
  <si>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</si>
  <si>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</si>
  <si>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</si>
  <si>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</si>
  <si>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</si>
  <si>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</si>
  <si>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</si>
  <si>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</si>
  <si>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</si>
  <si>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</si>
  <si>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</si>
  <si>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</si>
  <si>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</si>
  <si>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</si>
  <si>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</si>
  <si>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</si>
  <si>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</si>
  <si>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</si>
  <si>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</si>
  <si>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</si>
  <si>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</si>
  <si>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</si>
  <si>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</si>
  <si>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</si>
  <si>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</si>
  <si>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</si>
  <si>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</si>
  <si>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</si>
  <si>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</si>
  <si>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</si>
  <si>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</si>
  <si>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</si>
  <si>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</si>
  <si>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</si>
  <si>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</si>
  <si>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</si>
  <si>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</si>
  <si>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</si>
  <si>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</si>
  <si>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</si>
  <si>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</si>
  <si>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</si>
  <si>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</si>
  <si>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</si>
  <si>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</si>
  <si>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</si>
  <si>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</si>
  <si>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</si>
  <si>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</si>
  <si>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</si>
  <si>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</si>
  <si>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</si>
  <si>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</si>
  <si>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</si>
  <si>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</si>
  <si>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</si>
  <si>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</si>
  <si>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</si>
  <si>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</si>
  <si>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</si>
  <si>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</si>
  <si>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</si>
  <si>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</si>
  <si>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</si>
  <si>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</si>
  <si>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</si>
  <si>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</si>
  <si>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</si>
  <si>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</si>
  <si>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</si>
  <si>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</si>
  <si>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</si>
  <si>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</si>
  <si>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</si>
  <si>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</si>
  <si>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</si>
  <si>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</si>
  <si>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</si>
  <si>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</si>
  <si>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</si>
  <si>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</si>
  <si>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</si>
  <si>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</si>
  <si>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</si>
  <si>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</si>
  <si>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</si>
  <si>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</si>
  <si>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</si>
  <si>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</si>
  <si>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</si>
  <si>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</si>
  <si>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</si>
  <si>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</si>
  <si>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</si>
  <si>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</si>
  <si>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</si>
  <si>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</si>
  <si>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</si>
  <si>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</si>
  <si>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</si>
  <si>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</si>
  <si>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</si>
  <si>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</si>
  <si>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</si>
  <si>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</si>
  <si>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</si>
  <si>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</si>
  <si>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</si>
  <si>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</si>
  <si>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</si>
  <si>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</si>
  <si>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</si>
  <si>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</si>
  <si>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</si>
  <si>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</si>
  <si>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</si>
  <si>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</si>
  <si>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</si>
  <si>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</si>
  <si>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</si>
  <si>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</si>
  <si>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</si>
  <si>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</si>
  <si>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</si>
  <si>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</si>
  <si>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</si>
  <si>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</si>
  <si>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</si>
  <si>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</si>
  <si>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</si>
  <si>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</si>
  <si>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</si>
  <si>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</si>
  <si>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</si>
  <si>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</si>
  <si>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</si>
  <si>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</si>
  <si>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</si>
  <si>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</si>
  <si>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</si>
  <si>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</si>
  <si>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</si>
  <si>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</si>
  <si>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</si>
  <si>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</si>
  <si>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</si>
  <si>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</si>
  <si>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</si>
  <si>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</si>
  <si>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</si>
  <si>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</si>
  <si>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</si>
  <si>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</si>
  <si>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</si>
  <si>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</si>
  <si>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</si>
  <si>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</si>
  <si>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</si>
  <si>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</si>
  <si>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</si>
  <si>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</si>
  <si>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</si>
  <si>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</si>
  <si>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</si>
  <si>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</si>
  <si>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</si>
  <si>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</si>
  <si>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</si>
  <si>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</si>
  <si>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</si>
  <si>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</si>
  <si>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</si>
  <si>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</si>
  <si>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</si>
  <si>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</si>
  <si>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</si>
  <si>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</si>
  <si>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</si>
  <si>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</si>
  <si>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</si>
  <si>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</si>
  <si>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</si>
  <si>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</si>
  <si>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</si>
  <si>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</si>
  <si>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</si>
  <si>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</si>
  <si>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</si>
  <si>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</si>
  <si>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</si>
  <si>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</si>
  <si>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</si>
  <si>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</si>
  <si>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</si>
  <si>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</si>
  <si>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</si>
  <si>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</si>
  <si>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</si>
  <si>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</si>
  <si>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</si>
  <si>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</si>
  <si>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</si>
  <si>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</si>
  <si>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</si>
  <si>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</si>
  <si>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</si>
  <si>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</si>
  <si>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</si>
  <si>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</si>
  <si>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</si>
  <si>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</si>
  <si>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</si>
  <si>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</si>
  <si>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</si>
  <si>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</si>
  <si>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</si>
  <si>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</si>
  <si>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</si>
  <si>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</si>
  <si>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</si>
  <si>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</si>
  <si>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</si>
  <si>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</si>
  <si>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</si>
  <si>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</si>
  <si>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</si>
  <si>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</si>
  <si>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</si>
  <si>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</si>
  <si>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</si>
  <si>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</si>
  <si>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</si>
  <si>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</si>
  <si>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</si>
  <si>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</si>
  <si>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</si>
  <si>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</si>
  <si>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</si>
  <si>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</si>
  <si>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</si>
  <si>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</si>
  <si>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</si>
  <si>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</si>
  <si>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</si>
  <si>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</si>
  <si>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</si>
  <si>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</si>
  <si>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</si>
  <si>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</si>
  <si>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</si>
  <si>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</si>
  <si>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</si>
  <si>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</si>
  <si>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</si>
  <si>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</si>
  <si>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</si>
  <si>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</si>
  <si>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</si>
  <si>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</si>
  <si>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</si>
  <si>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</si>
  <si>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</si>
  <si>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</si>
  <si>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</si>
  <si>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</si>
  <si>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</si>
  <si>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</si>
  <si>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</si>
  <si>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</si>
  <si>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</si>
  <si>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</si>
  <si>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</si>
  <si>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</si>
  <si>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</si>
  <si>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</si>
  <si>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</si>
  <si>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</si>
  <si>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</si>
  <si>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</si>
  <si>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</si>
  <si>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</si>
  <si>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</si>
  <si>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</si>
  <si>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</si>
  <si>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</si>
  <si>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</si>
  <si>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</si>
  <si>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</si>
  <si>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</si>
  <si>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</si>
  <si>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</si>
  <si>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</si>
  <si>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</si>
  <si>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</si>
  <si>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</si>
  <si>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</si>
  <si>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</si>
  <si>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</si>
  <si>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</si>
  <si>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</si>
  <si>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</si>
  <si>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</si>
  <si>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</si>
  <si>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</si>
  <si>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</si>
  <si>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</si>
  <si>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</si>
  <si>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</si>
  <si>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</si>
  <si>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</si>
  <si>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</si>
  <si>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</si>
  <si>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</si>
  <si>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</si>
  <si>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</si>
  <si>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</si>
  <si>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</si>
  <si>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</si>
  <si>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</si>
  <si>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</si>
  <si>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</si>
  <si>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</si>
  <si>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</si>
  <si>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</si>
  <si>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</si>
  <si>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</si>
  <si>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</si>
  <si>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</si>
  <si>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</si>
  <si>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</si>
  <si>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</si>
  <si>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</si>
  <si>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</si>
  <si>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</si>
  <si>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</si>
  <si>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</si>
  <si>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</si>
  <si>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</si>
  <si>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</si>
  <si>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</si>
  <si>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</si>
  <si>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</si>
  <si>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</si>
  <si>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</si>
  <si>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</si>
  <si>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</si>
  <si>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</si>
  <si>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</si>
  <si>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</si>
  <si>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</si>
  <si>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</si>
  <si>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</si>
  <si>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</si>
  <si>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</si>
  <si>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</si>
  <si>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</si>
  <si>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</si>
  <si>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</si>
  <si>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</si>
  <si>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</si>
  <si>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</si>
  <si>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</si>
  <si>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</si>
  <si>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</si>
  <si>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</si>
  <si>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</si>
  <si>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</si>
  <si>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</si>
  <si>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</si>
  <si>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</si>
  <si>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</si>
  <si>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</si>
  <si>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</si>
  <si>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</si>
  <si>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</si>
  <si>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</si>
  <si>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</si>
  <si>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</si>
  <si>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</si>
  <si>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</si>
  <si>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</si>
  <si>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</si>
  <si>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</si>
  <si>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</si>
  <si>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</si>
  <si>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</si>
  <si>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</si>
  <si>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</si>
  <si>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</si>
  <si>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</si>
  <si>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</si>
  <si>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</si>
  <si>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</si>
  <si>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</si>
  <si>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</si>
  <si>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</si>
  <si>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</si>
  <si>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</si>
  <si>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</si>
  <si>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</si>
  <si>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</si>
  <si>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</si>
  <si>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</si>
  <si>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</si>
  <si>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</si>
  <si>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</si>
  <si>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</si>
  <si>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</si>
  <si>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</si>
  <si>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</si>
  <si>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</si>
  <si>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</si>
  <si>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</si>
  <si>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</si>
  <si>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</si>
  <si>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</si>
  <si>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</si>
  <si>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</si>
  <si>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</si>
  <si>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</si>
  <si>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</si>
  <si>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</si>
  <si>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</si>
  <si>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</si>
  <si>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</si>
  <si>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</si>
  <si>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</si>
  <si>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</si>
  <si>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</si>
  <si>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</si>
  <si>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</si>
  <si>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</si>
  <si>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</si>
  <si>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</si>
  <si>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</si>
  <si>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</si>
  <si>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</si>
  <si>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</si>
  <si>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</si>
  <si>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</si>
  <si>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</si>
  <si>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</si>
  <si>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</si>
  <si>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</si>
  <si>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</si>
  <si>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</si>
  <si>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</si>
  <si>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</si>
  <si>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</si>
  <si>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</si>
  <si>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</si>
  <si>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</si>
  <si>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</si>
  <si>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</si>
  <si>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</si>
  <si>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</si>
  <si>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</si>
  <si>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</si>
  <si>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</si>
  <si>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</si>
  <si>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</si>
  <si>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</si>
  <si>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</si>
  <si>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</si>
  <si>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</si>
  <si>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</si>
  <si>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</si>
  <si>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</si>
  <si>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</si>
  <si>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</si>
  <si>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</si>
  <si>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</si>
  <si>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</si>
  <si>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</si>
  <si>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</si>
  <si>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</si>
  <si>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</si>
  <si>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</si>
  <si>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</si>
  <si>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</si>
  <si>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</si>
  <si>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</si>
  <si>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</si>
  <si>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</si>
  <si>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</si>
  <si>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</si>
  <si>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</si>
  <si>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</si>
  <si>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</si>
  <si>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</si>
  <si>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</si>
  <si>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</si>
  <si>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</si>
  <si>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</si>
  <si>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</si>
  <si>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</si>
  <si>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</si>
  <si>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</si>
  <si>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</si>
  <si>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</si>
  <si>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</si>
  <si>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</si>
  <si>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</si>
  <si>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</si>
  <si>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</si>
  <si>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</si>
  <si>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</si>
  <si>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</si>
  <si>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</si>
  <si>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</si>
  <si>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</si>
  <si>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</si>
  <si>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</si>
  <si>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</si>
  <si>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</si>
  <si>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</si>
  <si>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</si>
  <si>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</si>
  <si>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</si>
  <si>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</si>
  <si>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</si>
  <si>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</si>
  <si>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</si>
  <si>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</si>
  <si>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</si>
  <si>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</si>
  <si>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</si>
  <si>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</si>
  <si>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</si>
  <si>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</si>
  <si>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</si>
  <si>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</si>
  <si>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</si>
  <si>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</si>
  <si>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</si>
  <si>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</si>
  <si>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</si>
  <si>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</si>
  <si>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</si>
  <si>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</si>
  <si>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</si>
  <si>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</si>
  <si>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</si>
  <si>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</si>
  <si>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</si>
  <si>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</si>
  <si>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</si>
  <si>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</si>
  <si>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</si>
  <si>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</si>
  <si>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</si>
  <si>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</si>
  <si>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</si>
  <si>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</si>
  <si>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</si>
  <si>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</si>
  <si>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</si>
  <si>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</si>
  <si>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</si>
  <si>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</si>
  <si>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</si>
  <si>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</si>
  <si>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</si>
  <si>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</si>
  <si>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</si>
  <si>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</si>
  <si>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</si>
  <si>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</si>
  <si>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</si>
  <si>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</si>
  <si>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</si>
  <si>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</si>
  <si>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</si>
  <si>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</si>
  <si>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</si>
  <si>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</si>
  <si>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</si>
  <si>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</si>
  <si>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</si>
  <si>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</si>
  <si>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</si>
  <si>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</si>
  <si>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</si>
  <si>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</si>
  <si>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</si>
  <si>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</si>
  <si>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</si>
  <si>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</si>
  <si>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</si>
  <si>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</si>
  <si>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</si>
  <si>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</si>
  <si>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</si>
  <si>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</si>
  <si>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</si>
  <si>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</si>
  <si>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</si>
  <si>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</si>
  <si>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</si>
  <si>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</si>
  <si>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</si>
  <si>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</si>
  <si>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</si>
  <si>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</si>
  <si>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</si>
  <si>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</si>
  <si>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</si>
  <si>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</si>
  <si>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</si>
  <si>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</si>
  <si>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</si>
  <si>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</si>
  <si>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</si>
  <si>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</si>
  <si>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</si>
  <si>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</si>
  <si>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</si>
  <si>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</si>
  <si>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</si>
  <si>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</si>
  <si>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</si>
  <si>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</si>
  <si>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</si>
  <si>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</si>
  <si>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</si>
  <si>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</si>
  <si>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</si>
  <si>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</si>
  <si>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</si>
  <si>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</si>
  <si>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</si>
  <si>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</si>
  <si>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</si>
  <si>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</si>
  <si>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</si>
  <si>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</si>
  <si>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</si>
  <si>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</si>
  <si>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</si>
  <si>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</si>
  <si>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</si>
  <si>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</si>
  <si>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</si>
  <si>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</si>
  <si>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</si>
  <si>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</si>
  <si>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</si>
  <si>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</si>
  <si>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</si>
  <si>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</si>
  <si>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</si>
  <si>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</si>
  <si>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</si>
  <si>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</si>
  <si>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</si>
  <si>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</si>
  <si>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</si>
  <si>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</si>
  <si>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</si>
  <si>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</si>
  <si>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</si>
  <si>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</si>
  <si>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</si>
  <si>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</si>
  <si>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</si>
  <si>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</si>
  <si>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</si>
  <si>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</si>
  <si>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</si>
  <si>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</si>
  <si>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</si>
  <si>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</si>
  <si>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</si>
  <si>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</si>
  <si>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</si>
  <si>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</si>
  <si>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</si>
  <si>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</si>
  <si>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</si>
  <si>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</si>
  <si>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</si>
  <si>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</si>
  <si>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</si>
  <si>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</si>
  <si>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</si>
  <si>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</si>
  <si>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</si>
  <si>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</si>
  <si>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</si>
  <si>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</si>
  <si>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</si>
  <si>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</si>
  <si>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</si>
  <si>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</si>
  <si>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</si>
  <si>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</si>
  <si>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</si>
  <si>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</si>
  <si>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</si>
  <si>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</si>
  <si>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</si>
  <si>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</si>
  <si>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</si>
  <si>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</si>
  <si>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</si>
  <si>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</si>
  <si>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</si>
  <si>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</si>
  <si>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</si>
  <si>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</si>
  <si>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</si>
  <si>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</si>
  <si>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</si>
  <si>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</si>
  <si>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</si>
  <si>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</si>
  <si>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</si>
  <si>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</si>
  <si>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</si>
  <si>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</si>
  <si>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</si>
  <si>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</si>
  <si>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</si>
  <si>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</si>
  <si>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</si>
  <si>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</si>
  <si>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</si>
  <si>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</si>
  <si>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</si>
  <si>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</si>
  <si>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</si>
  <si>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</si>
  <si>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</si>
  <si>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</si>
  <si>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</si>
  <si>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</si>
  <si>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</si>
  <si>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</si>
  <si>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</si>
  <si>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</si>
  <si>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</si>
  <si>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</si>
  <si>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</si>
  <si>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</si>
  <si>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</si>
  <si>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</si>
  <si>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</si>
  <si>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</si>
  <si>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</si>
  <si>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</si>
  <si>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</si>
  <si>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</si>
  <si>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</si>
  <si>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</si>
  <si>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</si>
  <si>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</si>
  <si>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</si>
  <si>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</si>
  <si>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</si>
  <si>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</si>
  <si>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</si>
  <si>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</si>
  <si>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</si>
  <si>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</si>
  <si>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</si>
  <si>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</si>
  <si>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</si>
  <si>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</si>
  <si>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</si>
  <si>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</si>
  <si>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</si>
  <si>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</si>
  <si>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</si>
  <si>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</si>
  <si>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</si>
  <si>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</si>
  <si>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</si>
  <si>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</si>
  <si>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</si>
  <si>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</si>
  <si>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</si>
  <si>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</si>
  <si>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</si>
  <si>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</si>
  <si>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</si>
  <si>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</si>
  <si>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</si>
  <si>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</si>
  <si>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</si>
  <si>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</si>
  <si>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</si>
  <si>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</si>
  <si>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</si>
  <si>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</si>
  <si>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</si>
  <si>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</si>
  <si>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</si>
  <si>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</si>
  <si>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</si>
  <si>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</si>
  <si>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</si>
  <si>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</si>
  <si>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</si>
  <si>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</si>
  <si>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</si>
  <si>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</si>
  <si>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</si>
  <si>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</si>
  <si>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</si>
  <si>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</si>
  <si>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</si>
  <si>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</si>
  <si>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</si>
  <si>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</si>
  <si>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</si>
  <si>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</si>
  <si>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</si>
  <si>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</si>
  <si>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</si>
  <si>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</si>
  <si>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</si>
  <si>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</si>
  <si>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</si>
  <si>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</si>
  <si>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</si>
  <si>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</si>
  <si>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</si>
  <si>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</si>
  <si>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</si>
  <si>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</si>
  <si>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</si>
  <si>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</si>
  <si>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</si>
  <si>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</si>
  <si>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</si>
  <si>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</si>
  <si>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</si>
  <si>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</si>
  <si>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</si>
  <si>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</si>
  <si>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</si>
  <si>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</si>
  <si>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</si>
  <si>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</si>
  <si>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</si>
  <si>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</si>
  <si>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</si>
  <si>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</si>
  <si>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</si>
  <si>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</si>
  <si>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</si>
  <si>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</si>
  <si>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</si>
  <si>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</si>
  <si>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</si>
  <si>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</si>
  <si>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</si>
  <si>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</si>
  <si>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</si>
  <si>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</si>
  <si>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</si>
  <si>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</si>
  <si>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</si>
  <si>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</si>
  <si>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</si>
  <si>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</si>
  <si>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</si>
  <si>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</si>
  <si>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</si>
  <si>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</si>
  <si>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</si>
  <si>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</si>
  <si>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</si>
  <si>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</si>
  <si>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</si>
  <si>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</si>
  <si>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</si>
  <si>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</si>
  <si>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</si>
  <si>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</si>
  <si>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</si>
  <si>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</si>
  <si>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</si>
  <si>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</si>
  <si>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</si>
  <si>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</si>
  <si>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</si>
  <si>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</si>
  <si>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</si>
  <si>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</si>
  <si>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</si>
  <si>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</si>
  <si>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</si>
  <si>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</si>
  <si>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</si>
  <si>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</si>
  <si>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</si>
  <si>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</si>
  <si>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</si>
  <si>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</si>
  <si>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</si>
  <si>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</si>
  <si>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</si>
  <si>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</si>
  <si>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</si>
  <si>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</si>
  <si>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</si>
  <si>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</si>
  <si>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</si>
  <si>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</si>
  <si>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</si>
  <si>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</si>
  <si>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</si>
  <si>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</si>
  <si>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</si>
  <si>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</si>
  <si>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</si>
  <si>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</si>
  <si>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</si>
  <si>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</si>
  <si>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</si>
  <si>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</si>
  <si>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</si>
  <si>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</si>
  <si>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</si>
  <si>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</si>
  <si>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</si>
  <si>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</si>
  <si>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</si>
  <si>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</si>
  <si>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</si>
  <si>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</si>
  <si>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</si>
  <si>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</si>
  <si>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</si>
  <si>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</si>
  <si>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</si>
  <si>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</si>
  <si>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</si>
  <si>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</si>
  <si>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</si>
  <si>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</si>
  <si>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</si>
  <si>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</si>
  <si>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</si>
  <si>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</si>
  <si>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</si>
  <si>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</si>
  <si>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</si>
  <si>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</si>
  <si>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</si>
  <si>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</si>
  <si>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</si>
  <si>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</si>
  <si>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</si>
  <si>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</si>
  <si>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</si>
  <si>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</si>
  <si>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</si>
  <si>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</si>
  <si>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</si>
  <si>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</si>
  <si>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</si>
  <si>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</si>
  <si>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</si>
  <si>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</si>
  <si>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</si>
  <si>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</si>
  <si>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</si>
  <si>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</si>
  <si>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</si>
  <si>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</si>
  <si>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</si>
  <si>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</si>
  <si>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</si>
  <si>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</si>
  <si>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</si>
  <si>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</si>
  <si>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</si>
  <si>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</si>
  <si>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</si>
  <si>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</si>
  <si>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</si>
  <si>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</si>
  <si>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</si>
  <si>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</si>
  <si>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</si>
  <si>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</si>
  <si>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</si>
  <si>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</si>
  <si>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</si>
  <si>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</si>
  <si>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</si>
  <si>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</si>
  <si>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</si>
  <si>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</si>
  <si>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</si>
  <si>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</si>
  <si>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</si>
  <si>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</si>
  <si>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</si>
  <si>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</si>
  <si>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</si>
  <si>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</si>
  <si>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</si>
  <si>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</si>
  <si>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</si>
  <si>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</si>
  <si>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</si>
  <si>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</si>
  <si>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</si>
  <si>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</si>
  <si>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</si>
  <si>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</si>
  <si>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</si>
  <si>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</si>
  <si>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</si>
  <si>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</si>
  <si>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</si>
  <si>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</si>
  <si>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</si>
  <si>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</si>
  <si>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</si>
  <si>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</si>
  <si>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</si>
  <si>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</si>
  <si>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</si>
  <si>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</si>
  <si>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</si>
  <si>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</si>
  <si>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</si>
  <si>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</si>
  <si>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</si>
  <si>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</si>
  <si>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</si>
  <si>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</si>
  <si>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</si>
  <si>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</si>
  <si>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</si>
  <si>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</si>
  <si>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</si>
  <si>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</si>
  <si>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</si>
  <si>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</si>
  <si>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</si>
  <si>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</si>
  <si>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</si>
  <si>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</si>
  <si>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</si>
  <si>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</si>
  <si>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</si>
  <si>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</si>
  <si>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</si>
  <si>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</si>
  <si>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</si>
  <si>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</si>
  <si>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</si>
  <si>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</si>
  <si>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</si>
  <si>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</si>
  <si>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</si>
  <si>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</si>
  <si>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</si>
  <si>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</si>
  <si>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</si>
  <si>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</si>
  <si>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</si>
  <si>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</si>
  <si>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</si>
  <si>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</si>
  <si>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</si>
  <si>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</si>
  <si>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</si>
  <si>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</si>
  <si>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</si>
  <si>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</si>
  <si>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</si>
  <si>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</si>
  <si>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</si>
  <si>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</si>
  <si>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</si>
  <si>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</si>
  <si>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</si>
  <si>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</si>
  <si>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</si>
  <si>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</si>
  <si>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</si>
  <si>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</si>
  <si>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</si>
  <si>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</si>
  <si>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</si>
  <si>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</si>
  <si>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</si>
  <si>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</si>
  <si>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</si>
  <si>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</si>
  <si>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</si>
  <si>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</si>
  <si>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</si>
  <si>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</si>
  <si>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</si>
  <si>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</si>
  <si>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</si>
  <si>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</si>
  <si>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</si>
  <si>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</si>
  <si>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</si>
  <si>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</si>
  <si>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</si>
  <si>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</si>
  <si>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</si>
  <si>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</si>
  <si>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</si>
  <si>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</si>
  <si>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</si>
  <si>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</si>
  <si>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</si>
  <si>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</si>
  <si>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</si>
  <si>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</si>
  <si>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</si>
  <si>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</si>
  <si>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</si>
  <si>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</si>
  <si>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</si>
  <si>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</si>
  <si>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</si>
  <si>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</si>
  <si>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</si>
  <si>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</si>
  <si>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</si>
  <si>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</si>
  <si>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</si>
  <si>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</si>
  <si>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</si>
  <si>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</si>
  <si>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</si>
  <si>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</si>
  <si>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</si>
  <si>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</si>
  <si>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</si>
  <si>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</si>
  <si>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</si>
  <si>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</si>
  <si>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</si>
  <si>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</si>
  <si>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</si>
  <si>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</si>
  <si>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</si>
  <si>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</si>
  <si>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</si>
  <si>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</si>
  <si>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</si>
  <si>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</si>
  <si>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</si>
  <si>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</si>
  <si>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</si>
  <si>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</si>
  <si>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</si>
  <si>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</si>
  <si>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</si>
  <si>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</si>
  <si>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</si>
  <si>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</si>
  <si>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</si>
  <si>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</si>
  <si>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</si>
  <si>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</si>
  <si>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</si>
  <si>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</si>
  <si>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</si>
  <si>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</si>
  <si>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</si>
  <si>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</si>
  <si>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</si>
  <si>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</si>
  <si>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</si>
  <si>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</si>
  <si>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</si>
  <si>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</si>
  <si>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</si>
  <si>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</si>
  <si>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</si>
  <si>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</si>
  <si>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</si>
  <si>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</si>
  <si>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</si>
  <si>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</si>
  <si>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</si>
  <si>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</si>
  <si>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</si>
  <si>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</si>
  <si>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</si>
  <si>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</si>
  <si>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</si>
  <si>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</si>
  <si>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</si>
  <si>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</si>
  <si>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</si>
  <si>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</si>
  <si>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</si>
  <si>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</si>
  <si>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</si>
  <si>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</si>
  <si>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</si>
  <si>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</si>
  <si>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</si>
  <si>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</si>
  <si>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</si>
  <si>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</si>
  <si>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</si>
  <si>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</si>
  <si>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</si>
  <si>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</si>
  <si>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</si>
  <si>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</si>
  <si>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</si>
  <si>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</si>
  <si>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</si>
  <si>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</si>
  <si>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</si>
  <si>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</si>
  <si>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</si>
  <si>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</si>
  <si>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</si>
  <si>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</si>
  <si>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</si>
  <si>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</si>
  <si>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</si>
  <si>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</si>
  <si>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</si>
  <si>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</si>
  <si>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</si>
  <si>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</si>
  <si>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</si>
  <si>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</si>
  <si>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</si>
  <si>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</si>
  <si>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</si>
  <si>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</si>
  <si>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</si>
  <si>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</si>
  <si>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</si>
  <si>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</si>
  <si>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</si>
  <si>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</si>
  <si>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</si>
  <si>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</si>
  <si>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</si>
  <si>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</si>
  <si>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</si>
  <si>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</si>
  <si>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</si>
  <si>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</si>
  <si>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</si>
  <si>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</si>
  <si>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</si>
  <si>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</si>
  <si>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</si>
  <si>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</si>
  <si>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</si>
  <si>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</si>
  <si>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</si>
  <si>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</si>
  <si>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</si>
  <si>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</si>
  <si>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</si>
  <si>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</si>
  <si>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</si>
  <si>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</si>
  <si>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</si>
  <si>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</si>
  <si>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</si>
  <si>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</si>
  <si>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</si>
  <si>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</si>
  <si>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</si>
  <si>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</si>
  <si>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</si>
  <si>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</si>
  <si>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</si>
  <si>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</si>
  <si>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</si>
  <si>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</si>
  <si>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</si>
  <si>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</si>
  <si>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</si>
  <si>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</si>
  <si>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</si>
  <si>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</si>
  <si>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</si>
  <si>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</si>
  <si>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</si>
  <si>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</si>
  <si>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</si>
  <si>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</si>
  <si>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</si>
  <si>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</si>
  <si>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</si>
  <si>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</si>
  <si>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</si>
  <si>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</si>
  <si>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</si>
  <si>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</si>
  <si>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</si>
  <si>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</si>
  <si>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</si>
  <si>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</si>
  <si>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</si>
  <si>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</si>
  <si>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</si>
  <si>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</si>
  <si>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</si>
  <si>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</si>
  <si>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</si>
  <si>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</si>
  <si>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</si>
  <si>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</si>
  <si>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</si>
  <si>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</si>
  <si>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</si>
  <si>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</si>
  <si>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</si>
  <si>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</si>
  <si>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</si>
  <si>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</si>
  <si>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</si>
  <si>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</si>
  <si>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</si>
  <si>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</si>
  <si>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</si>
  <si>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</si>
  <si>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</si>
  <si>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</si>
  <si>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</si>
  <si>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</si>
  <si>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</si>
  <si>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</si>
  <si>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</si>
  <si>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</si>
  <si>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</si>
  <si>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</si>
  <si>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</si>
  <si>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</si>
  <si>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</si>
  <si>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</si>
  <si>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</si>
  <si>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</si>
  <si>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</si>
  <si>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</si>
  <si>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</si>
  <si>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</si>
  <si>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</si>
  <si>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</si>
  <si>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</si>
  <si>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</si>
  <si>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</si>
  <si>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</si>
  <si>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</si>
  <si>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</si>
  <si>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</si>
  <si>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</si>
  <si>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</si>
  <si>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</si>
  <si>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</si>
  <si>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</si>
  <si>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</si>
  <si>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</si>
  <si>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</si>
  <si>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</si>
  <si>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</si>
  <si>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</si>
  <si>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</si>
  <si>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</si>
  <si>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</si>
  <si>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</si>
  <si>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</si>
  <si>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</si>
  <si>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</si>
  <si>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</si>
  <si>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</si>
  <si>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</si>
  <si>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</si>
  <si>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</si>
  <si>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</si>
  <si>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</si>
  <si>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</si>
  <si>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</si>
  <si>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</si>
  <si>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</si>
  <si>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</si>
  <si>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</si>
  <si>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</si>
  <si>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</si>
  <si>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</si>
  <si>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</si>
  <si>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</si>
  <si>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</si>
  <si>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</si>
  <si>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</si>
  <si>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</si>
  <si>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</si>
  <si>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</si>
  <si>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</si>
  <si>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</si>
  <si>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</si>
  <si>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</si>
  <si>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</si>
  <si>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</si>
  <si>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</si>
  <si>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</si>
  <si>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</si>
  <si>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</si>
  <si>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</si>
  <si>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</si>
  <si>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</si>
  <si>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</si>
  <si>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</si>
  <si>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</si>
  <si>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</si>
  <si>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</si>
  <si>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</si>
  <si>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</si>
  <si>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</si>
  <si>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</si>
  <si>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</si>
  <si>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</si>
  <si>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</si>
  <si>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</si>
  <si>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</si>
  <si>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</si>
  <si>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</si>
  <si>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</si>
  <si>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</si>
  <si>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</si>
  <si>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</si>
  <si>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</si>
  <si>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</si>
  <si>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</si>
  <si>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</si>
  <si>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</si>
  <si>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</si>
  <si>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</si>
  <si>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</si>
  <si>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</si>
  <si>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</si>
  <si>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</si>
  <si>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</si>
  <si>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</si>
  <si>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</si>
  <si>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</si>
  <si>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</si>
  <si>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</si>
  <si>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</si>
  <si>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</si>
  <si>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</si>
  <si>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</si>
  <si>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</si>
  <si>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</si>
  <si>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</si>
  <si>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</si>
  <si>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</si>
  <si>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</si>
  <si>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</si>
  <si>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</si>
  <si>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</si>
  <si>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</si>
  <si>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</si>
  <si>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</si>
  <si>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</si>
  <si>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</si>
  <si>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</si>
  <si>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</si>
  <si>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</si>
  <si>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</si>
  <si>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</si>
  <si>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</si>
  <si>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</si>
  <si>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</si>
  <si>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</si>
  <si>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</si>
  <si>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</si>
  <si>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</si>
  <si>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</si>
  <si>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</si>
  <si>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</si>
  <si>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</si>
  <si>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</si>
  <si>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</si>
  <si>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</si>
  <si>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</si>
  <si>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</si>
  <si>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</si>
  <si>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</si>
  <si>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</si>
  <si>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</si>
  <si>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</si>
  <si>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</si>
  <si>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</si>
  <si>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</si>
  <si>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</si>
  <si>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</si>
  <si>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</si>
  <si>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</si>
  <si>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</si>
  <si>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</si>
  <si>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</si>
  <si>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</si>
  <si>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</si>
  <si>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</si>
  <si>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</si>
  <si>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</si>
  <si>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</si>
  <si>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</si>
  <si>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</si>
  <si>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</si>
  <si>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</si>
  <si>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</si>
  <si>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</si>
  <si>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</si>
  <si>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</si>
  <si>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</si>
  <si>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</si>
  <si>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</si>
  <si>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</si>
  <si>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</si>
  <si>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</si>
  <si>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</si>
  <si>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</si>
  <si>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</si>
  <si>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</si>
  <si>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</si>
  <si>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</si>
  <si>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</si>
  <si>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</si>
  <si>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</si>
  <si>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</si>
  <si>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</si>
  <si>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</si>
  <si>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</si>
  <si>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</si>
  <si>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</si>
  <si>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</si>
  <si>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</si>
  <si>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</si>
  <si>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</si>
  <si>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</si>
  <si>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</si>
  <si>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</si>
  <si>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</si>
  <si>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</si>
  <si>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</si>
  <si>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</si>
  <si>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</si>
  <si>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</si>
  <si>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</si>
  <si>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</si>
  <si>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</si>
  <si>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</si>
  <si>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</si>
  <si>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</si>
  <si>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</si>
  <si>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</si>
  <si>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</si>
  <si>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</si>
  <si>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</si>
  <si>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</si>
  <si>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</si>
  <si>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</si>
  <si>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</si>
  <si>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</si>
  <si>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</si>
  <si>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</si>
  <si>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</si>
  <si>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</si>
  <si>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</si>
  <si>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</si>
  <si>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</si>
  <si>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</si>
  <si>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</si>
  <si>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</si>
  <si>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</si>
  <si>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</si>
  <si>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</si>
  <si>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</si>
  <si>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</si>
  <si>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</si>
  <si>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</si>
  <si>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</si>
  <si>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</si>
  <si>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</si>
  <si>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</si>
  <si>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</si>
  <si>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</si>
  <si>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</si>
  <si>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</si>
  <si>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</si>
  <si>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</si>
  <si>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</si>
  <si>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</si>
  <si>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</si>
  <si>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</si>
  <si>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</si>
  <si>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</si>
  <si>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</si>
  <si>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</si>
  <si>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</si>
  <si>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</si>
  <si>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</si>
  <si>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</si>
  <si>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</si>
  <si>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</si>
  <si>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</si>
  <si>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</si>
  <si>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</si>
  <si>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</si>
  <si>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</si>
  <si>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</si>
  <si>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</si>
  <si>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</si>
  <si>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</si>
  <si>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</si>
  <si>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</si>
  <si>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</si>
  <si>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</si>
  <si>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</si>
  <si>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</si>
  <si>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</si>
  <si>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</si>
  <si>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</si>
  <si>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</si>
  <si>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</si>
  <si>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</si>
  <si>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</si>
  <si>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</si>
  <si>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</si>
  <si>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</si>
  <si>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</si>
  <si>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</si>
  <si>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</si>
  <si>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</si>
  <si>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</si>
  <si>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</si>
  <si>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</si>
  <si>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</si>
  <si>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</si>
  <si>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</si>
  <si>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</si>
  <si>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</si>
  <si>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</si>
  <si>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</si>
  <si>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</si>
  <si>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</si>
  <si>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</si>
  <si>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</si>
  <si>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</si>
  <si>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</si>
  <si>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</si>
  <si>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</si>
  <si>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</si>
  <si>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</si>
  <si>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</si>
  <si>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</si>
  <si>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</si>
  <si>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</si>
  <si>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</si>
  <si>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</si>
  <si>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</si>
  <si>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</si>
  <si>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</si>
  <si>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</si>
  <si>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</si>
  <si>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</si>
  <si>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</si>
  <si>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</si>
  <si>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</si>
  <si>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</si>
  <si>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</si>
  <si>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</si>
  <si>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</si>
  <si>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</si>
  <si>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</si>
  <si>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</si>
  <si>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</si>
  <si>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</si>
  <si>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</si>
  <si>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</si>
  <si>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</si>
  <si>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</si>
  <si>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</si>
  <si>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</si>
  <si>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</si>
  <si>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</si>
  <si>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</si>
  <si>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</si>
  <si>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</si>
  <si>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</si>
  <si>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</si>
  <si>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</si>
  <si>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</si>
  <si>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</si>
  <si>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</si>
  <si>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</si>
  <si>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</si>
  <si>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</si>
  <si>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</si>
  <si>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</si>
  <si>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</si>
  <si>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</si>
  <si>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</si>
  <si>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</si>
  <si>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</si>
  <si>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</si>
  <si>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</si>
  <si>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</si>
  <si>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</si>
  <si>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</si>
  <si>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</si>
  <si>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</si>
  <si>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</si>
  <si>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</si>
  <si>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</si>
  <si>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</si>
  <si>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</si>
  <si>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</si>
  <si>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</si>
  <si>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</si>
  <si>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</si>
  <si>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</si>
  <si>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</si>
  <si>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</si>
  <si>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</si>
  <si>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</si>
  <si>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</si>
  <si>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</si>
  <si>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</si>
  <si>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</si>
  <si>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</si>
  <si>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</si>
  <si>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</si>
  <si>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</si>
  <si>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</si>
  <si>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</si>
  <si>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</si>
  <si>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</si>
  <si>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</si>
  <si>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</si>
  <si>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</si>
  <si>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</si>
  <si>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</si>
  <si>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</si>
  <si>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</si>
  <si>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</si>
  <si>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</si>
  <si>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</si>
  <si>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</si>
  <si>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</si>
  <si>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</si>
  <si>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</si>
  <si>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</si>
  <si>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</si>
  <si>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</si>
  <si>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</si>
  <si>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</si>
  <si>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</si>
  <si>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</si>
  <si>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</si>
  <si>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</si>
  <si>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</si>
  <si>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</si>
  <si>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</si>
  <si>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</si>
  <si>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</si>
  <si>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</si>
  <si>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</si>
  <si>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</si>
  <si>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</si>
  <si>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</si>
  <si>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</si>
  <si>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</si>
  <si>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</si>
  <si>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</si>
  <si>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</si>
  <si>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</si>
  <si>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</si>
  <si>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</si>
  <si>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</si>
  <si>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</si>
  <si>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</si>
  <si>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</si>
  <si>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</si>
  <si>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</si>
  <si>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</si>
  <si>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</si>
  <si>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</si>
  <si>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</si>
  <si>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</si>
  <si>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</si>
  <si>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</si>
  <si>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</si>
  <si>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</si>
  <si>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</si>
  <si>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</si>
  <si>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</si>
  <si>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</si>
  <si>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</si>
  <si>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</si>
  <si>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</si>
  <si>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</si>
  <si>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</si>
  <si>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</si>
  <si>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</si>
  <si>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</si>
  <si>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</si>
  <si>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</si>
  <si>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</si>
  <si>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</si>
  <si>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</si>
  <si>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</si>
  <si>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</si>
  <si>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</si>
  <si>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</si>
  <si>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</si>
  <si>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</si>
  <si>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</si>
  <si>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</si>
  <si>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</si>
  <si>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</si>
  <si>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</si>
  <si>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</si>
  <si>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</si>
  <si>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</si>
  <si>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</si>
  <si>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</si>
  <si>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</si>
  <si>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</si>
  <si>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</si>
  <si>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</si>
  <si>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</si>
  <si>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</si>
  <si>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</si>
  <si>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</si>
  <si>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</si>
  <si>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</si>
  <si>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</si>
  <si>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</si>
  <si>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</si>
  <si>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</si>
  <si>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</si>
  <si>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</si>
  <si>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</si>
  <si>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</si>
  <si>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</si>
  <si>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</si>
  <si>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</si>
  <si>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</si>
  <si>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</si>
  <si>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</si>
  <si>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</si>
  <si>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</si>
  <si>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</si>
  <si>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</si>
  <si>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</si>
  <si>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</si>
  <si>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</si>
  <si>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</si>
  <si>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</si>
  <si>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</si>
  <si>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</si>
  <si>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</si>
  <si>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</si>
  <si>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</si>
  <si>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</si>
  <si>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</si>
  <si>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</si>
  <si>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</si>
  <si>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</si>
  <si>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</si>
  <si>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</si>
  <si>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</si>
  <si>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</si>
  <si>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</si>
  <si>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</si>
  <si>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</si>
  <si>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</si>
  <si>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</si>
  <si>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</si>
  <si>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</si>
  <si>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</si>
  <si>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</si>
  <si>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</si>
  <si>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</si>
  <si>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</si>
  <si>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</si>
  <si>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</si>
  <si>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</si>
  <si>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</si>
  <si>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</si>
  <si>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</si>
  <si>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</si>
  <si>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</si>
  <si>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</si>
  <si>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</si>
  <si>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</si>
  <si>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</si>
  <si>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</si>
  <si>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</si>
  <si>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</si>
  <si>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</si>
  <si>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</si>
  <si>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</si>
  <si>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</si>
  <si>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</si>
  <si>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</si>
  <si>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</si>
  <si>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</si>
  <si>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</si>
  <si>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</si>
  <si>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</si>
  <si>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</si>
  <si>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</si>
  <si>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</si>
  <si>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</si>
  <si>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</si>
  <si>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</si>
  <si>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</si>
  <si>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</si>
  <si>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</si>
  <si>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</si>
  <si>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</si>
  <si>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</si>
  <si>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</si>
  <si>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</si>
  <si>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</si>
  <si>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</si>
  <si>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</si>
  <si>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</si>
  <si>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</si>
  <si>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</si>
  <si>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</si>
  <si>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</si>
  <si>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</si>
  <si>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</si>
  <si>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</si>
  <si>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</si>
  <si>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</si>
  <si>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</si>
  <si>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</si>
  <si>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</si>
  <si>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</si>
  <si>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</si>
  <si>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</si>
  <si>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</si>
  <si>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</si>
  <si>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</si>
  <si>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</si>
  <si>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</si>
  <si>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</si>
  <si>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</si>
  <si>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</si>
  <si>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</si>
  <si>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</si>
  <si>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</si>
  <si>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</si>
  <si>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</si>
  <si>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</si>
  <si>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</si>
  <si>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</si>
  <si>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</si>
  <si>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</si>
  <si>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</si>
  <si>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</si>
  <si>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</si>
  <si>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</si>
  <si>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</si>
  <si>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</si>
  <si>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</si>
  <si>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</si>
  <si>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</si>
  <si>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</si>
  <si>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</si>
  <si>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</si>
  <si>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</si>
  <si>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</si>
  <si>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</si>
  <si>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</si>
  <si>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</si>
  <si>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</si>
  <si>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</si>
  <si>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</si>
  <si>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</si>
  <si>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</si>
  <si>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</si>
  <si>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</si>
  <si>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</si>
  <si>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</si>
  <si>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</si>
  <si>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</si>
  <si>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</si>
  <si>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</si>
  <si>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</si>
  <si>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</si>
  <si>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</si>
  <si>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</si>
  <si>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</si>
  <si>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</si>
  <si>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</si>
  <si>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</si>
  <si>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</si>
  <si>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</si>
  <si>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</si>
  <si>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</si>
  <si>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</si>
  <si>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</si>
  <si>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</si>
  <si>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</si>
  <si>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</si>
  <si>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</si>
  <si>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</si>
  <si>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</si>
  <si>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</si>
  <si>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</si>
  <si>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</si>
  <si>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</si>
  <si>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</si>
  <si>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</si>
  <si>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</si>
  <si>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</si>
  <si>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</si>
  <si>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</si>
  <si>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</si>
  <si>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</si>
  <si>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</si>
  <si>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</si>
  <si>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</si>
  <si>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</si>
  <si>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</si>
  <si>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</si>
  <si>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</si>
  <si>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</si>
  <si>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</si>
  <si>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</si>
  <si>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</si>
  <si>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</si>
  <si>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</si>
  <si>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</si>
  <si>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</si>
  <si>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</si>
  <si>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</si>
  <si>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</si>
  <si>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</si>
  <si>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</si>
  <si>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</si>
  <si>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</si>
  <si>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</si>
  <si>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</si>
  <si>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</si>
  <si>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</si>
  <si>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</si>
  <si>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</si>
  <si>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</si>
  <si>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</si>
  <si>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</si>
  <si>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</si>
  <si>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</si>
  <si>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</si>
  <si>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</si>
  <si>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</si>
  <si>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</si>
  <si>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</si>
  <si>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</si>
  <si>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</si>
  <si>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</si>
  <si>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</si>
  <si>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</si>
  <si>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</si>
  <si>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</si>
  <si>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</si>
  <si>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</si>
  <si>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</si>
  <si>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</si>
  <si>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</si>
  <si>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</si>
  <si>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</si>
  <si>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</si>
  <si>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</si>
  <si>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</si>
  <si>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</si>
  <si>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</si>
  <si>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</si>
  <si>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</si>
  <si>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</si>
  <si>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</si>
  <si>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</si>
  <si>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</si>
  <si>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</si>
  <si>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</si>
  <si>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</si>
  <si>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</si>
  <si>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</si>
  <si>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</si>
  <si>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</si>
  <si>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</si>
  <si>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</si>
  <si>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</si>
  <si>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</si>
  <si>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</si>
  <si>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</si>
  <si>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</si>
  <si>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</si>
  <si>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</si>
  <si>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</si>
  <si>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</si>
  <si>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</si>
  <si>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</si>
  <si>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</si>
  <si>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</si>
  <si>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</si>
  <si>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</si>
  <si>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</si>
  <si>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</si>
  <si>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</si>
  <si>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</si>
  <si>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</si>
  <si>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</si>
  <si>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</si>
  <si>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</si>
  <si>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</si>
  <si>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</si>
  <si>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</si>
  <si>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</si>
  <si>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</si>
  <si>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</si>
  <si>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</si>
  <si>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</si>
  <si>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</si>
  <si>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</si>
  <si>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</si>
  <si>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</si>
  <si>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</si>
  <si>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</si>
  <si>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</si>
  <si>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</si>
  <si>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</si>
  <si>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</si>
  <si>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</si>
  <si>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</si>
  <si>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</si>
  <si>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</si>
  <si>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</si>
  <si>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</si>
  <si>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</si>
  <si>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</si>
  <si>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</si>
  <si>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</si>
  <si>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</si>
  <si>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</si>
  <si>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</si>
  <si>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</si>
  <si>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</si>
  <si>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</si>
  <si>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</si>
  <si>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</si>
  <si>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</si>
  <si>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</si>
  <si>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</si>
  <si>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</si>
  <si>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</si>
  <si>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</si>
  <si>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</si>
  <si>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</si>
  <si>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</si>
  <si>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</si>
  <si>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</si>
  <si>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</si>
  <si>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</si>
  <si>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</si>
  <si>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</si>
  <si>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</si>
  <si>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</si>
  <si>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</si>
  <si>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</si>
  <si>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</si>
  <si>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</si>
  <si>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</si>
  <si>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</si>
  <si>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</si>
  <si>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</si>
  <si>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</si>
  <si>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</si>
  <si>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</si>
  <si>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</si>
  <si>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</si>
  <si>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</si>
  <si>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</si>
  <si>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</si>
  <si>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</si>
  <si>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</si>
  <si>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</si>
  <si>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</si>
  <si>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</si>
  <si>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</si>
  <si>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</si>
  <si>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</si>
  <si>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</si>
  <si>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</si>
  <si>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</si>
  <si>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</si>
  <si>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</si>
  <si>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</si>
  <si>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</si>
  <si>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</si>
  <si>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</si>
  <si>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</si>
  <si>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</si>
  <si>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</si>
  <si>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</si>
  <si>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</si>
  <si>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</si>
  <si>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</si>
  <si>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</si>
  <si>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</si>
  <si>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</si>
  <si>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</si>
  <si>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</si>
  <si>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</si>
  <si>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</si>
  <si>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</si>
  <si>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</si>
  <si>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</si>
  <si>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</si>
  <si>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</si>
  <si>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</si>
  <si>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</si>
  <si>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</si>
  <si>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</si>
  <si>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</si>
  <si>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</si>
  <si>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</si>
  <si>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</si>
  <si>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</si>
  <si>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</si>
  <si>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</si>
  <si>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</si>
  <si>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</si>
  <si>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</si>
  <si>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</si>
  <si>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</si>
  <si>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</si>
  <si>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</si>
  <si>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</si>
  <si>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</si>
  <si>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</si>
  <si>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</si>
  <si>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</si>
  <si>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</si>
  <si>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</si>
  <si>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</si>
  <si>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</si>
  <si>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</si>
  <si>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</si>
  <si>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</si>
  <si>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</si>
  <si>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</si>
  <si>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</si>
  <si>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</si>
  <si>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</si>
  <si>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</si>
  <si>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</si>
  <si>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</si>
  <si>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</si>
  <si>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</si>
  <si>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</si>
  <si>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</si>
  <si>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</si>
  <si>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</si>
  <si>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</si>
  <si>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</si>
  <si>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</si>
  <si>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</si>
  <si>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</si>
  <si>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</si>
  <si>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</si>
  <si>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</si>
  <si>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</si>
  <si>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</si>
  <si>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</si>
  <si>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</si>
  <si>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</si>
  <si>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</si>
  <si>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</si>
  <si>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</si>
  <si>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</si>
  <si>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</si>
  <si>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</si>
  <si>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</si>
  <si>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</si>
  <si>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</si>
  <si>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</si>
  <si>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</si>
  <si>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</si>
  <si>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</si>
  <si>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</si>
  <si>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</si>
  <si>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</si>
  <si>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</si>
  <si>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</si>
  <si>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</si>
  <si>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</si>
  <si>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</si>
  <si>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</si>
  <si>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</si>
  <si>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</si>
  <si>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</si>
  <si>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</si>
  <si>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</si>
  <si>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</si>
  <si>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</si>
  <si>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</si>
  <si>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</si>
  <si>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</si>
  <si>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</si>
  <si>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</si>
  <si>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</si>
  <si>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</si>
  <si>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</si>
  <si>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</si>
  <si>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</si>
  <si>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</si>
  <si>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</si>
  <si>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</si>
  <si>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</si>
  <si>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</si>
  <si>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</si>
  <si>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</si>
  <si>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</si>
  <si>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</si>
  <si>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</si>
  <si>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</si>
  <si>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</si>
  <si>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</si>
  <si>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</si>
  <si>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</si>
  <si>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</si>
  <si>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</si>
  <si>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</si>
  <si>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</si>
  <si>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</si>
  <si>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</si>
  <si>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</si>
  <si>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</si>
  <si>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</si>
  <si>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</si>
  <si>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</si>
  <si>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</si>
  <si>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</si>
  <si>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</si>
  <si>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</si>
  <si>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</si>
  <si>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</si>
  <si>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</si>
  <si>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</si>
  <si>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</si>
  <si>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</si>
  <si>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</si>
  <si>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</si>
  <si>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</si>
  <si>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</si>
  <si>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</si>
  <si>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</si>
  <si>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</si>
  <si>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</si>
  <si>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</si>
  <si>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</si>
  <si>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</si>
  <si>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</si>
  <si>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</si>
  <si>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</si>
  <si>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</si>
  <si>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</si>
  <si>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</si>
  <si>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</si>
  <si>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</si>
  <si>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</si>
  <si>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</si>
  <si>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</si>
  <si>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</si>
  <si>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</si>
  <si>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</si>
  <si>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</si>
  <si>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</si>
  <si>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</si>
  <si>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</si>
  <si>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</si>
  <si>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</si>
  <si>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</si>
  <si>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</si>
  <si>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</si>
  <si>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</si>
  <si>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</si>
  <si>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</si>
  <si>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</si>
  <si>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</si>
  <si>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</si>
  <si>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</si>
  <si>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</si>
  <si>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</si>
  <si>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</si>
  <si>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</si>
  <si>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</si>
  <si>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</si>
  <si>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</si>
  <si>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</si>
  <si>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</si>
  <si>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</si>
  <si>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</si>
  <si>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</si>
  <si>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</si>
  <si>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</si>
  <si>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</si>
  <si>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</si>
  <si>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</si>
  <si>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</si>
  <si>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</si>
  <si>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</si>
  <si>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</si>
  <si>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</si>
  <si>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</si>
  <si>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</si>
  <si>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</si>
  <si>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</si>
  <si>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</si>
  <si>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</si>
  <si>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</si>
  <si>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</si>
  <si>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</si>
  <si>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</si>
  <si>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</si>
  <si>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</si>
  <si>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</si>
  <si>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</si>
  <si>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</si>
  <si>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</si>
  <si>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</si>
  <si>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</si>
  <si>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</si>
  <si>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</si>
  <si>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</si>
  <si>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</si>
  <si>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</si>
  <si>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</si>
  <si>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</si>
  <si>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</si>
  <si>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</si>
  <si>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</si>
  <si>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</si>
  <si>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</si>
  <si>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</si>
  <si>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</si>
  <si>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</si>
  <si>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</si>
  <si>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</si>
  <si>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</si>
  <si>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</si>
  <si>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</si>
  <si>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</si>
  <si>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</si>
  <si>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</si>
  <si>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</si>
  <si>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</si>
  <si>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</si>
  <si>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</si>
  <si>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</si>
  <si>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</si>
  <si>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</si>
  <si>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</si>
  <si>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</si>
  <si>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</si>
  <si>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</si>
  <si>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</si>
  <si>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</si>
  <si>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</si>
  <si>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</si>
  <si>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</si>
  <si>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</si>
  <si>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</si>
  <si>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</si>
  <si>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</si>
  <si>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</si>
  <si>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</si>
  <si>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</si>
  <si>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</si>
  <si>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</si>
  <si>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</si>
  <si>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</si>
  <si>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</si>
  <si>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</si>
  <si>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</si>
  <si>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</si>
  <si>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</si>
  <si>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</si>
  <si>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</si>
  <si>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</si>
  <si>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</si>
  <si>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</si>
  <si>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</si>
  <si>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</si>
  <si>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</si>
  <si>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</si>
  <si>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</si>
  <si>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</si>
  <si>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</si>
  <si>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</si>
  <si>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</si>
  <si>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</si>
  <si>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</si>
  <si>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</si>
  <si>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</si>
  <si>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</si>
  <si>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</si>
  <si>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</si>
  <si>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</si>
  <si>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</si>
  <si>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</si>
  <si>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</si>
  <si>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</si>
  <si>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</si>
  <si>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</si>
  <si>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</si>
  <si>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</si>
  <si>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</si>
  <si>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</si>
  <si>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</si>
  <si>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</si>
  <si>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</si>
  <si>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</si>
  <si>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</si>
  <si>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</si>
  <si>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</si>
  <si>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</si>
  <si>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</si>
  <si>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</si>
  <si>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</si>
  <si>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</si>
  <si>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</si>
  <si>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</si>
  <si>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</si>
  <si>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</si>
  <si>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</si>
  <si>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</si>
  <si>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</si>
  <si>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</si>
  <si>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</si>
  <si>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</si>
  <si>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</si>
  <si>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</si>
  <si>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</si>
  <si>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</si>
  <si>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</si>
  <si>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</si>
  <si>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</si>
  <si>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</si>
  <si>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</si>
  <si>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</si>
  <si>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</si>
  <si>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</si>
  <si>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</si>
  <si>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</si>
  <si>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</si>
  <si>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</si>
  <si>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</si>
  <si>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</si>
  <si>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</si>
  <si>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</si>
  <si>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</si>
  <si>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</si>
  <si>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</si>
  <si>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</si>
  <si>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</si>
  <si>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</si>
  <si>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</si>
  <si>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</si>
  <si>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</si>
  <si>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</si>
  <si>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</si>
  <si>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</si>
  <si>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</si>
  <si>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</si>
  <si>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</si>
  <si>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</si>
  <si>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</si>
  <si>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</si>
  <si>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</si>
  <si>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</si>
  <si>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</si>
  <si>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</si>
  <si>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</si>
  <si>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</si>
  <si>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</si>
  <si>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</si>
  <si>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</si>
  <si>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</si>
  <si>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</si>
  <si>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</si>
  <si>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</si>
  <si>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</si>
  <si>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</si>
  <si>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</si>
  <si>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</si>
  <si>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</si>
  <si>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</si>
  <si>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</si>
  <si>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</si>
  <si>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</si>
  <si>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</si>
  <si>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</si>
  <si>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</si>
  <si>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</si>
  <si>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</si>
  <si>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</si>
  <si>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</si>
  <si>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</si>
  <si>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</si>
  <si>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</si>
  <si>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</si>
  <si>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</si>
  <si>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</si>
  <si>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</si>
  <si>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</si>
  <si>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</si>
  <si>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</si>
  <si>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</si>
  <si>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</si>
  <si>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</si>
  <si>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</si>
  <si>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</si>
  <si>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</si>
  <si>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</si>
  <si>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</si>
  <si>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</si>
  <si>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</si>
  <si>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</si>
  <si>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</si>
  <si>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</si>
  <si>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</si>
  <si>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</si>
  <si>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</si>
  <si>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</si>
  <si>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</si>
  <si>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</si>
  <si>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</si>
  <si>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</si>
  <si>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</si>
  <si>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</si>
  <si>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</si>
  <si>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</si>
  <si>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</si>
  <si>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</si>
  <si>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</si>
  <si>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</si>
  <si>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</si>
  <si>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</si>
  <si>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</si>
  <si>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</si>
  <si>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</si>
  <si>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</si>
  <si>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</si>
  <si>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</si>
  <si>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</si>
  <si>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</si>
  <si>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</si>
  <si>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</si>
  <si>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</si>
  <si>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</si>
  <si>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</si>
  <si>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</si>
  <si>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</si>
  <si>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</si>
  <si>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</si>
  <si>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</si>
  <si>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</si>
  <si>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</si>
  <si>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</si>
  <si>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</si>
  <si>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</si>
  <si>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</si>
  <si>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</si>
  <si>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</si>
  <si>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</si>
  <si>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</si>
  <si>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</si>
  <si>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</si>
  <si>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</si>
  <si>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</si>
  <si>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</si>
  <si>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</si>
  <si>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</si>
  <si>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</si>
  <si>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</si>
  <si>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</si>
  <si>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</si>
  <si>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</si>
  <si>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</si>
  <si>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</si>
  <si>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</si>
  <si>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</si>
  <si>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</si>
  <si>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</si>
  <si>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</si>
  <si>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</si>
  <si>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</si>
  <si>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</si>
  <si>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</si>
  <si>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</si>
  <si>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</si>
  <si>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</si>
  <si>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</si>
  <si>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</si>
  <si>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</si>
  <si>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</si>
  <si>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</si>
  <si>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</si>
  <si>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</si>
  <si>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</si>
  <si>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</si>
  <si>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</si>
  <si>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</si>
  <si>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</si>
  <si>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</si>
  <si>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</si>
  <si>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</si>
  <si>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</si>
  <si>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</si>
  <si>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</si>
  <si>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</si>
  <si>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</si>
  <si>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</si>
  <si>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</si>
  <si>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</si>
  <si>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</si>
  <si>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</si>
  <si>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</si>
  <si>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</si>
  <si>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</si>
  <si>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</si>
  <si>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</si>
  <si>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</si>
  <si>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</si>
  <si>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</si>
  <si>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</si>
  <si>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</si>
  <si>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</si>
  <si>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</si>
  <si>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</si>
  <si>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</si>
  <si>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</si>
  <si>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</si>
  <si>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</si>
  <si>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</si>
  <si>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</si>
  <si>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</si>
  <si>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</si>
  <si>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</si>
  <si>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</si>
  <si>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</si>
  <si>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</si>
  <si>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</si>
  <si>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</si>
  <si>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</si>
  <si>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</si>
  <si>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</si>
  <si>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</si>
  <si>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</si>
  <si>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</si>
  <si>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</si>
  <si>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</si>
  <si>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</si>
  <si>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</si>
  <si>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</si>
  <si>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</si>
  <si>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</si>
  <si>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</si>
  <si>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</si>
  <si>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</si>
  <si>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</si>
  <si>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</si>
  <si>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</si>
  <si>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</si>
  <si>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</si>
  <si>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</si>
  <si>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</si>
  <si>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</si>
  <si>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</si>
  <si>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</si>
  <si>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</si>
  <si>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</si>
  <si>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</si>
  <si>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</si>
  <si>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</si>
  <si>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</si>
  <si>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</si>
  <si>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</si>
  <si>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</si>
  <si>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</si>
  <si>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</si>
  <si>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</si>
  <si>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</si>
  <si>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</si>
  <si>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</si>
  <si>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</si>
  <si>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</si>
  <si>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</si>
  <si>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</si>
  <si>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</si>
  <si>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</si>
  <si>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</si>
  <si>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</si>
  <si>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</si>
  <si>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</si>
  <si>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</si>
  <si>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</si>
  <si>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</si>
  <si>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</si>
  <si>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</si>
  <si>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</si>
  <si>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</si>
  <si>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</si>
  <si>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</si>
  <si>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</si>
  <si>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</si>
  <si>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</si>
  <si>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</si>
  <si>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</si>
  <si>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</si>
  <si>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</si>
  <si>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</si>
  <si>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</si>
  <si>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</si>
  <si>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</si>
  <si>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</si>
  <si>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</si>
  <si>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</si>
  <si>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</si>
  <si>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</si>
  <si>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</si>
  <si>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</si>
  <si>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</si>
  <si>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</si>
  <si>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</si>
  <si>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</si>
  <si>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</si>
  <si>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</si>
  <si>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</si>
  <si>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</si>
  <si>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</si>
  <si>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</si>
  <si>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</si>
  <si>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</si>
  <si>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</si>
  <si>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</si>
  <si>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</si>
  <si>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</si>
  <si>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</si>
  <si>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</si>
  <si>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</si>
  <si>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</si>
  <si>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</si>
  <si>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</si>
  <si>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</si>
  <si>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</si>
  <si>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</si>
  <si>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</si>
  <si>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</si>
  <si>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</si>
  <si>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</si>
  <si>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</si>
  <si>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</si>
  <si>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</si>
  <si>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</si>
  <si>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</si>
  <si>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</si>
  <si>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</si>
  <si>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</si>
  <si>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</si>
  <si>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</si>
  <si>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</si>
  <si>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</si>
  <si>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</si>
  <si>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</si>
  <si>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</si>
  <si>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</si>
  <si>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</si>
  <si>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</si>
  <si>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</si>
  <si>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</si>
  <si>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</si>
  <si>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</si>
  <si>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</si>
  <si>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</si>
  <si>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</si>
  <si>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</si>
  <si>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</si>
  <si>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</si>
  <si>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</si>
  <si>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</si>
  <si>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</si>
  <si>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</si>
  <si>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</si>
  <si>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</si>
  <si>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</si>
  <si>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</si>
  <si>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</si>
  <si>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</si>
  <si>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</si>
  <si>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</si>
  <si>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</si>
  <si>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</si>
  <si>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</si>
  <si>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</si>
  <si>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</si>
  <si>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</si>
  <si>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</si>
  <si>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</si>
  <si>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</si>
  <si>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</si>
  <si>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</si>
  <si>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</si>
  <si>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</si>
  <si>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</si>
  <si>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</si>
  <si>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</si>
  <si>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</si>
  <si>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</si>
  <si>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</si>
  <si>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</si>
  <si>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</si>
  <si>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</si>
  <si>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</si>
  <si>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</si>
  <si>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</si>
  <si>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</si>
  <si>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</si>
  <si>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</si>
  <si>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</si>
  <si>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</si>
  <si>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</si>
  <si>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</si>
  <si>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</si>
  <si>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</si>
  <si>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</si>
  <si>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</si>
  <si>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</si>
  <si>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</si>
  <si>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</si>
  <si>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</si>
  <si>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</si>
  <si>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</si>
  <si>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</si>
  <si>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</si>
  <si>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</si>
  <si>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</si>
  <si>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</si>
  <si>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</si>
  <si>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</si>
  <si>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</si>
  <si>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</si>
  <si>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</si>
  <si>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</si>
  <si>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</si>
  <si>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</si>
  <si>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</si>
  <si>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</si>
  <si>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</si>
  <si>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</si>
  <si>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</si>
  <si>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</si>
  <si>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</si>
  <si>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</si>
  <si>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</si>
  <si>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</si>
  <si>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</si>
  <si>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</si>
  <si>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</si>
  <si>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</si>
  <si>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</si>
  <si>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</si>
  <si>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</si>
  <si>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</si>
  <si>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</si>
  <si>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</si>
  <si>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</si>
  <si>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</si>
  <si>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</si>
  <si>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</si>
  <si>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</si>
  <si>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</si>
  <si>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</si>
  <si>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</si>
  <si>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</si>
  <si>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</si>
  <si>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</si>
  <si>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</si>
  <si>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</si>
  <si>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</si>
  <si>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</si>
  <si>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</si>
  <si>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</si>
  <si>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</si>
  <si>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</si>
  <si>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</si>
  <si>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</si>
  <si>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</si>
  <si>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</si>
  <si>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</si>
  <si>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</si>
  <si>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</si>
  <si>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</si>
  <si>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</si>
  <si>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</si>
  <si>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</si>
  <si>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</si>
  <si>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</si>
  <si>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</si>
  <si>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</si>
  <si>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</si>
  <si>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</si>
  <si>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</si>
  <si>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</si>
  <si>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</si>
  <si>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</si>
  <si>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</si>
  <si>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</si>
  <si>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</si>
  <si>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</si>
  <si>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</si>
  <si>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</si>
  <si>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</si>
  <si>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</si>
  <si>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</si>
  <si>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</si>
  <si>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</si>
  <si>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</si>
  <si>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</si>
  <si>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</si>
  <si>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</si>
  <si>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</si>
  <si>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</si>
  <si>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</si>
  <si>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</si>
  <si>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</si>
  <si>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</si>
  <si>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</si>
  <si>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</si>
  <si>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</si>
  <si>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</si>
  <si>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</si>
  <si>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</si>
  <si>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</si>
  <si>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</si>
  <si>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</si>
  <si>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</si>
  <si>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</si>
  <si>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</si>
  <si>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</si>
  <si>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</si>
  <si>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</si>
  <si>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</si>
  <si>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</si>
  <si>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</si>
  <si>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</si>
  <si>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</si>
  <si>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</si>
  <si>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</si>
  <si>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</si>
  <si>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</si>
  <si>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</si>
  <si>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</si>
  <si>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</si>
  <si>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</si>
  <si>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</si>
  <si>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</si>
  <si>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</si>
  <si>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</si>
  <si>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</si>
  <si>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</si>
  <si>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</si>
  <si>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</si>
  <si>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</si>
  <si>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</si>
  <si>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</si>
  <si>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</si>
  <si>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</si>
  <si>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</si>
  <si>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</si>
  <si>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</si>
  <si>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</si>
  <si>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</si>
  <si>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</si>
  <si>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</si>
  <si>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</si>
  <si>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</si>
  <si>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</si>
  <si>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</si>
  <si>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</si>
  <si>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</si>
  <si>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</si>
  <si>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</si>
  <si>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</si>
  <si>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</si>
  <si>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</si>
  <si>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</si>
  <si>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</si>
  <si>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</si>
  <si>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</si>
  <si>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</si>
  <si>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</si>
  <si>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</si>
  <si>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</si>
  <si>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</si>
  <si>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</si>
  <si>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</si>
  <si>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</si>
  <si>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</si>
  <si>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</si>
  <si>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</si>
  <si>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</si>
  <si>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</si>
  <si>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</si>
  <si>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</si>
  <si>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</si>
  <si>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</si>
  <si>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</si>
  <si>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</si>
  <si>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</si>
  <si>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</si>
  <si>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</si>
  <si>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</si>
  <si>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</si>
  <si>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</si>
  <si>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</si>
  <si>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</si>
  <si>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</si>
  <si>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</si>
  <si>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</si>
  <si>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</si>
  <si>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</si>
  <si>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</si>
  <si>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</si>
  <si>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</si>
  <si>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</si>
  <si>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</si>
  <si>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</si>
  <si>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</si>
  <si>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</si>
  <si>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</si>
  <si>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</si>
  <si>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</si>
  <si>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</si>
  <si>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</si>
  <si>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</si>
  <si>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</si>
  <si>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</si>
  <si>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</si>
  <si>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</si>
  <si>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</si>
  <si>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</si>
  <si>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</si>
  <si>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</si>
  <si>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</si>
  <si>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</si>
  <si>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</si>
  <si>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</si>
  <si>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</si>
  <si>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</si>
  <si>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</si>
  <si>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</si>
  <si>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</si>
  <si>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</si>
  <si>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</si>
  <si>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</si>
  <si>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</si>
  <si>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</si>
  <si>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</si>
  <si>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</si>
  <si>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</si>
  <si>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</si>
  <si>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</si>
  <si>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</si>
  <si>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</si>
  <si>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</si>
  <si>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</si>
  <si>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</si>
  <si>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</si>
  <si>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</si>
  <si>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</si>
  <si>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</si>
  <si>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</si>
  <si>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</si>
  <si>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</si>
  <si>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</si>
  <si>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</si>
  <si>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</si>
  <si>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</si>
  <si>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</si>
  <si>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</si>
  <si>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</si>
  <si>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</si>
  <si>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</si>
  <si>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</si>
  <si>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</si>
  <si>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</si>
  <si>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</si>
  <si>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</si>
  <si>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</si>
  <si>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</si>
  <si>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</si>
  <si>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</si>
  <si>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</si>
  <si>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</si>
  <si>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</si>
  <si>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</si>
  <si>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</si>
  <si>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</si>
  <si>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</si>
  <si>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</si>
  <si>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</si>
  <si>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</si>
  <si>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</si>
  <si>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</si>
  <si>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</si>
  <si>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</si>
  <si>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</si>
  <si>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</si>
  <si>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</si>
  <si>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</si>
  <si>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</si>
  <si>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</si>
  <si>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</si>
  <si>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</si>
  <si>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</si>
  <si>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</si>
  <si>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</si>
  <si>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</si>
  <si>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</si>
  <si>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</si>
  <si>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</si>
  <si>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</si>
  <si>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</si>
  <si>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</si>
  <si>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</si>
  <si>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</si>
  <si>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</si>
  <si>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</si>
  <si>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</si>
  <si>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</si>
  <si>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</si>
  <si>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</si>
  <si>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</si>
  <si>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</si>
  <si>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</si>
  <si>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</si>
  <si>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</si>
  <si>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</si>
  <si>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</si>
  <si>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</si>
  <si>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</si>
  <si>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</si>
  <si>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</si>
  <si>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</si>
  <si>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</si>
  <si>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</si>
  <si>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</si>
  <si>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</si>
  <si>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</si>
  <si>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</si>
  <si>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</si>
  <si>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</si>
  <si>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</si>
  <si>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</si>
  <si>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</si>
  <si>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</si>
  <si>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</si>
  <si>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</si>
  <si>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</si>
  <si>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</si>
  <si>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</si>
  <si>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</si>
  <si>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</si>
  <si>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</si>
  <si>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</si>
  <si>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</si>
  <si>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</si>
  <si>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</si>
  <si>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</si>
  <si>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</si>
  <si>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</si>
  <si>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</si>
  <si>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</si>
  <si>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</si>
  <si>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</si>
  <si>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</si>
  <si>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</si>
  <si>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</si>
  <si>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</si>
  <si>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</si>
  <si>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</si>
  <si>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</si>
  <si>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</si>
  <si>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</si>
  <si>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</si>
  <si>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</si>
  <si>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</si>
  <si>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</si>
  <si>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</si>
  <si>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</si>
  <si>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</si>
  <si>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</si>
  <si>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</si>
  <si>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</si>
  <si>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</si>
  <si>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</si>
  <si>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</si>
  <si>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</si>
  <si>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</si>
  <si>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</si>
  <si>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</si>
  <si>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</si>
  <si>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</si>
  <si>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</si>
  <si>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</si>
  <si>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</si>
  <si>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</si>
  <si>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</si>
  <si>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</si>
  <si>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</si>
  <si>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</si>
  <si>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</si>
  <si>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</si>
  <si>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</si>
  <si>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</si>
  <si>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</si>
  <si>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</si>
  <si>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</si>
  <si>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</si>
  <si>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</si>
  <si>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</si>
  <si>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</si>
  <si>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</si>
  <si>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</si>
  <si>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</si>
  <si>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</si>
  <si>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</si>
  <si>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</si>
  <si>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</si>
  <si>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</si>
  <si>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</si>
  <si>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</si>
  <si>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</si>
  <si>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</si>
  <si>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</si>
  <si>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</si>
  <si>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</si>
  <si>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</si>
  <si>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</si>
  <si>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</si>
  <si>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</si>
  <si>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</si>
  <si>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</si>
  <si>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</si>
  <si>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</si>
  <si>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</si>
  <si>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</si>
  <si>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</si>
  <si>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</si>
  <si>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</si>
  <si>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</si>
  <si>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</si>
  <si>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</si>
  <si>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</si>
  <si>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</si>
  <si>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</si>
  <si>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</si>
  <si>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</si>
  <si>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</si>
  <si>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</si>
  <si>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</si>
  <si>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</si>
  <si>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</si>
  <si>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</si>
  <si>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</si>
  <si>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</si>
  <si>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</si>
  <si>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</si>
  <si>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</si>
  <si>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</si>
  <si>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</si>
  <si>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</si>
  <si>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</si>
  <si>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</si>
  <si>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</si>
  <si>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</si>
  <si>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</si>
  <si>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</si>
  <si>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</si>
  <si>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</si>
  <si>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</si>
  <si>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</si>
  <si>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</si>
  <si>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</si>
  <si>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</si>
  <si>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</si>
  <si>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</si>
  <si>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</si>
  <si>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</si>
  <si>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</si>
  <si>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</si>
  <si>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</si>
  <si>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</si>
  <si>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</si>
  <si>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</si>
  <si>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</si>
  <si>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</si>
  <si>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</si>
  <si>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</si>
  <si>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</si>
  <si>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</si>
  <si>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</si>
  <si>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</si>
  <si>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</si>
  <si>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</si>
  <si>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</si>
  <si>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</si>
  <si>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</si>
  <si>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</si>
  <si>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</si>
  <si>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</si>
  <si>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</si>
  <si>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</si>
  <si>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</si>
  <si>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</si>
  <si>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</si>
  <si>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</si>
  <si>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</si>
  <si>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</si>
  <si>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</si>
  <si>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</si>
  <si>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</si>
  <si>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</si>
  <si>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</si>
  <si>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</si>
  <si>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</si>
  <si>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</si>
  <si>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</si>
  <si>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</si>
  <si>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</si>
  <si>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</si>
  <si>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</si>
  <si>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</si>
  <si>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</si>
  <si>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</si>
  <si>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</si>
  <si>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</si>
  <si>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</si>
  <si>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</si>
  <si>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</si>
  <si>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</si>
  <si>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</si>
  <si>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</si>
  <si>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</si>
  <si>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</si>
  <si>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</si>
  <si>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</si>
  <si>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</si>
  <si>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</si>
  <si>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</si>
  <si>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</si>
  <si>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</si>
  <si>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</si>
  <si>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</si>
  <si>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</si>
  <si>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</si>
  <si>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</si>
  <si>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</si>
  <si>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</si>
  <si>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</si>
  <si>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</si>
  <si>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</si>
  <si>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</si>
  <si>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</si>
  <si>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</si>
  <si>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</si>
  <si>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</si>
  <si>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</si>
  <si>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</si>
  <si>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</si>
  <si>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</si>
  <si>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</si>
  <si>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</si>
  <si>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</si>
  <si>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</si>
  <si>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</si>
  <si>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</si>
  <si>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</si>
  <si>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</si>
  <si>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</si>
  <si>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</si>
  <si>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</si>
  <si>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</si>
  <si>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</si>
  <si>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</si>
  <si>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</si>
  <si>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</si>
  <si>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</si>
  <si>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</si>
  <si>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</si>
  <si>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</si>
  <si>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</si>
  <si>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</si>
  <si>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</si>
  <si>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</si>
  <si>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</si>
  <si>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</si>
  <si>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</si>
  <si>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</si>
  <si>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</si>
  <si>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</si>
  <si>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</si>
  <si>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</si>
  <si>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</si>
  <si>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</si>
  <si>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</si>
  <si>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</si>
  <si>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</si>
  <si>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</si>
  <si>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</si>
  <si>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</si>
  <si>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</si>
  <si>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</si>
  <si>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</si>
  <si>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</si>
  <si>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</si>
  <si>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</si>
  <si>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</si>
  <si>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</si>
  <si>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</si>
  <si>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</si>
  <si>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</si>
  <si>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</si>
  <si>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</si>
  <si>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</si>
  <si>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</si>
  <si>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</si>
  <si>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</si>
  <si>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</si>
  <si>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</si>
  <si>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</si>
  <si>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</si>
  <si>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</si>
  <si>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</si>
  <si>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</si>
  <si>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</si>
  <si>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</si>
  <si>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</si>
  <si>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</si>
  <si>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</si>
  <si>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</si>
  <si>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</si>
  <si>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</si>
  <si>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</si>
  <si>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</si>
  <si>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</si>
  <si>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</si>
  <si>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</si>
  <si>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</si>
  <si>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</si>
  <si>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</si>
  <si>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</si>
  <si>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</si>
  <si>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</si>
  <si>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</si>
  <si>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</si>
  <si>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</si>
  <si>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</si>
  <si>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</si>
  <si>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</si>
  <si>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</si>
  <si>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</si>
  <si>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</si>
  <si>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</si>
  <si>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</si>
  <si>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</si>
  <si>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</si>
  <si>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</si>
  <si>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</si>
  <si>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</si>
  <si>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</si>
  <si>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</si>
  <si>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</si>
  <si>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</si>
  <si>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</si>
  <si>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</si>
  <si>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</si>
  <si>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</si>
  <si>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</si>
  <si>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</si>
  <si>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</si>
  <si>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</si>
  <si>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</si>
  <si>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</si>
  <si>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</si>
  <si>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</si>
  <si>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</si>
  <si>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</si>
  <si>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</si>
  <si>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</si>
  <si>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</si>
  <si>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</si>
  <si>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</si>
  <si>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</si>
  <si>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</si>
  <si>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</si>
  <si>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</si>
  <si>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</si>
  <si>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</si>
  <si>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</si>
  <si>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</si>
  <si>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</si>
  <si>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</si>
  <si>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</si>
  <si>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</si>
  <si>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</si>
  <si>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</si>
  <si>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</si>
  <si>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</si>
  <si>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</si>
  <si>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</si>
  <si>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</si>
  <si>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</si>
  <si>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</si>
  <si>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</si>
  <si>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</si>
  <si>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</si>
  <si>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</si>
  <si>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</si>
  <si>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</si>
  <si>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</si>
  <si>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</si>
  <si>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</si>
  <si>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</si>
  <si>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</si>
  <si>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</si>
  <si>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</si>
  <si>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</si>
  <si>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</si>
  <si>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</si>
  <si>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</si>
  <si>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</si>
  <si>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</si>
  <si>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</si>
  <si>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</si>
  <si>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</si>
  <si>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</si>
  <si>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</si>
  <si>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</si>
  <si>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</si>
  <si>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</si>
  <si>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</si>
  <si>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</si>
  <si>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</si>
  <si>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</si>
  <si>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</si>
  <si>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</si>
  <si>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</si>
  <si>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</si>
  <si>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</si>
  <si>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</si>
  <si>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</si>
  <si>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</si>
  <si>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</si>
  <si>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</si>
  <si>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</si>
  <si>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</si>
  <si>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</si>
  <si>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</si>
  <si>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</si>
  <si>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</si>
  <si>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</si>
  <si>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</si>
  <si>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</si>
  <si>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</si>
  <si>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</si>
  <si>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</si>
  <si>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</si>
  <si>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</si>
  <si>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</si>
  <si>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</si>
  <si>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</si>
  <si>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</si>
  <si>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</si>
  <si>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</si>
  <si>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</si>
  <si>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</si>
  <si>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</si>
  <si>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</si>
  <si>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</si>
  <si>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</si>
  <si>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</si>
  <si>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</si>
  <si>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</si>
  <si>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</si>
  <si>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</si>
  <si>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</si>
  <si>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</si>
  <si>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</si>
  <si>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</si>
  <si>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</si>
  <si>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</si>
  <si>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</si>
  <si>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</si>
  <si>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</si>
  <si>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</si>
  <si>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</si>
  <si>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</si>
  <si>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</si>
  <si>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</si>
  <si>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</si>
  <si>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</si>
  <si>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</si>
  <si>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</si>
  <si>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</si>
  <si>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</si>
  <si>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</si>
  <si>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</si>
  <si>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</si>
  <si>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</si>
  <si>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</si>
  <si>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</si>
  <si>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</si>
  <si>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</si>
  <si>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</si>
  <si>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</si>
  <si>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</si>
  <si>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</si>
  <si>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</si>
  <si>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</si>
  <si>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</si>
  <si>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</si>
  <si>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</si>
  <si>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</si>
  <si>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</si>
  <si>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</si>
  <si>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</si>
  <si>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</si>
  <si>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</si>
  <si>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</si>
  <si>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</si>
  <si>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</si>
  <si>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</si>
  <si>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</si>
  <si>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</si>
  <si>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</si>
  <si>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</si>
  <si>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</si>
  <si>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</si>
  <si>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</si>
  <si>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</si>
  <si>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</si>
  <si>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</si>
  <si>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</si>
  <si>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</si>
  <si>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</si>
  <si>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</si>
  <si>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</si>
  <si>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</si>
  <si>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</si>
  <si>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</si>
  <si>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</si>
  <si>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</si>
  <si>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</si>
  <si>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</si>
  <si>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</si>
  <si>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</si>
  <si>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</si>
  <si>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</si>
  <si>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</si>
  <si>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</si>
  <si>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</si>
  <si>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</si>
  <si>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</si>
  <si>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</si>
  <si>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</si>
  <si>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</si>
  <si>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</si>
  <si>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</si>
  <si>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</si>
  <si>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</si>
  <si>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</si>
  <si>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</si>
  <si>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</si>
  <si>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</si>
  <si>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</si>
  <si>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</si>
  <si>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</si>
  <si>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</si>
  <si>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</si>
  <si>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</si>
  <si>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</si>
  <si>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</si>
  <si>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</si>
  <si>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</si>
  <si>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</si>
  <si>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</si>
  <si>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</si>
  <si>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</si>
  <si>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</si>
  <si>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</si>
  <si>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</si>
  <si>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</si>
  <si>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</si>
  <si>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</si>
  <si>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</si>
  <si>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</si>
  <si>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</si>
  <si>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</si>
  <si>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</si>
  <si>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</si>
  <si>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</si>
  <si>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</si>
  <si>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</si>
  <si>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</si>
  <si>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</si>
  <si>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</si>
  <si>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</si>
  <si>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</si>
  <si>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</si>
  <si>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</si>
  <si>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</si>
  <si>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</si>
  <si>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</si>
  <si>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</si>
  <si>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</si>
  <si>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</si>
  <si>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</si>
  <si>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</si>
  <si>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</si>
  <si>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</si>
  <si>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</si>
  <si>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</si>
  <si>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</si>
  <si>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</si>
  <si>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</si>
  <si>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</si>
  <si>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</si>
  <si>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</si>
  <si>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</si>
  <si>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</si>
  <si>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</si>
  <si>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</si>
  <si>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</si>
  <si>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</si>
  <si>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</si>
  <si>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</si>
  <si>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</si>
  <si>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</si>
  <si>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</si>
  <si>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</si>
  <si>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</si>
  <si>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</si>
  <si>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</si>
  <si>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</si>
  <si>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</si>
  <si>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</si>
  <si>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</si>
  <si>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</si>
  <si>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</si>
  <si>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</si>
  <si>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</si>
  <si>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</si>
  <si>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</si>
  <si>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</si>
  <si>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</si>
  <si>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</si>
  <si>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</si>
  <si>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</si>
  <si>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</si>
  <si>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</si>
  <si>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</si>
  <si>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</si>
  <si>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</si>
  <si>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</si>
  <si>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</si>
  <si>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</si>
  <si>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</si>
  <si>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</si>
  <si>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</si>
  <si>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</si>
  <si>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</si>
  <si>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</si>
  <si>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</si>
  <si>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</si>
  <si>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</si>
  <si>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</si>
  <si>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</si>
  <si>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</si>
  <si>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</si>
  <si>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</si>
  <si>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</si>
  <si>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</si>
  <si>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</si>
  <si>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</si>
  <si>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</si>
  <si>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</si>
  <si>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</si>
  <si>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</si>
  <si>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</si>
  <si>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</si>
  <si>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</si>
  <si>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</si>
  <si>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</si>
  <si>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</si>
  <si>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</si>
  <si>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</si>
  <si>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</si>
  <si>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</si>
  <si>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</si>
  <si>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</si>
  <si>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</si>
  <si>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</si>
  <si>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</si>
  <si>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</si>
  <si>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</si>
  <si>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</si>
  <si>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</si>
  <si>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</si>
  <si>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</si>
  <si>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</si>
  <si>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</si>
  <si>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</si>
  <si>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</si>
  <si>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</si>
  <si>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</si>
  <si>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</si>
  <si>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</si>
  <si>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</si>
  <si>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</si>
  <si>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</si>
  <si>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</si>
  <si>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</si>
  <si>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</si>
  <si>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</si>
  <si>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</si>
  <si>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</si>
  <si>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</si>
  <si>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</si>
  <si>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</si>
  <si>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</si>
  <si>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</si>
  <si>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</si>
  <si>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</si>
  <si>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</si>
  <si>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</si>
  <si>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</si>
  <si>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</si>
  <si>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</si>
  <si>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</si>
  <si>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</si>
  <si>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</si>
  <si>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</si>
  <si>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</si>
  <si>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</si>
  <si>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</si>
  <si>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</si>
  <si>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</si>
  <si>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</si>
  <si>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</si>
  <si>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</si>
  <si>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</si>
  <si>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</si>
  <si>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</si>
  <si>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</si>
  <si>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</si>
  <si>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</si>
  <si>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</si>
  <si>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</si>
  <si>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</si>
  <si>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</si>
  <si>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</si>
  <si>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</si>
  <si>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</si>
  <si>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</si>
  <si>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</si>
  <si>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</si>
  <si>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</si>
  <si>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</si>
  <si>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</si>
  <si>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</si>
  <si>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</si>
  <si>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</si>
  <si>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</si>
  <si>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</si>
  <si>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</si>
  <si>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</si>
  <si>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</si>
  <si>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</si>
  <si>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</si>
  <si>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</si>
  <si>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</si>
  <si>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</si>
  <si>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</si>
  <si>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</si>
  <si>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</si>
  <si>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</si>
  <si>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</si>
  <si>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</si>
  <si>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</si>
  <si>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</si>
  <si>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</si>
  <si>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</si>
  <si>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</si>
  <si>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</si>
  <si>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</si>
  <si>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</si>
  <si>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</si>
  <si>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</si>
  <si>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</si>
  <si>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</si>
  <si>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</si>
  <si>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</si>
  <si>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</si>
  <si>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</si>
  <si>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</si>
  <si>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</si>
  <si>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</si>
  <si>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</si>
  <si>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</si>
  <si>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</si>
  <si>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</si>
  <si>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</si>
  <si>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</si>
  <si>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</si>
  <si>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</si>
  <si>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</si>
  <si>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</si>
  <si>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</si>
  <si>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</si>
  <si>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</si>
  <si>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</si>
  <si>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</si>
  <si>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</si>
  <si>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</si>
  <si>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</si>
  <si>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</si>
  <si>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</si>
  <si>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</si>
  <si>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</si>
  <si>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</si>
  <si>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</si>
  <si>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</si>
  <si>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</si>
  <si>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</si>
  <si>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</si>
  <si>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</si>
  <si>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</si>
  <si>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</si>
  <si>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</si>
  <si>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</si>
  <si>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</si>
  <si>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</si>
  <si>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</si>
  <si>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</si>
  <si>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</si>
  <si>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</si>
  <si>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</si>
  <si>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</si>
  <si>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</si>
  <si>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</si>
  <si>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</si>
  <si>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</si>
  <si>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</si>
  <si>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</si>
  <si>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</si>
  <si>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</si>
  <si>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</si>
  <si>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</si>
  <si>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</si>
  <si>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</si>
  <si>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</si>
  <si>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</si>
  <si>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</si>
  <si>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</si>
  <si>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</si>
  <si>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</si>
  <si>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</si>
  <si>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</si>
  <si>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</si>
  <si>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</si>
  <si>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</si>
  <si>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</si>
  <si>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</si>
  <si>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</si>
  <si>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</si>
  <si>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</si>
  <si>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</si>
  <si>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</si>
  <si>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</si>
  <si>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</si>
  <si>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</si>
  <si>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</si>
  <si>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</si>
  <si>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</si>
  <si>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</si>
  <si>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</si>
  <si>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</si>
  <si>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</si>
  <si>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</si>
  <si>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</si>
  <si>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</si>
  <si>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</si>
  <si>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</si>
  <si>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</si>
  <si>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</si>
  <si>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</si>
  <si>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</si>
  <si>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</si>
  <si>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</si>
  <si>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</si>
  <si>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</si>
  <si>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</si>
  <si>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</si>
  <si>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</si>
  <si>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</si>
  <si>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</si>
  <si>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</si>
  <si>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</si>
  <si>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</si>
  <si>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</si>
  <si>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</si>
  <si>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</si>
  <si>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</si>
  <si>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</si>
  <si>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</si>
  <si>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</si>
  <si>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</si>
  <si>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</si>
  <si>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</si>
  <si>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</si>
  <si>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</si>
  <si>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</si>
  <si>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</si>
  <si>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</si>
  <si>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</si>
  <si>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</si>
  <si>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</si>
  <si>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</si>
  <si>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</si>
  <si>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</si>
  <si>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</si>
  <si>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</si>
  <si>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</si>
  <si>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</si>
  <si>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</si>
  <si>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</si>
  <si>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</si>
  <si>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</si>
  <si>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</si>
  <si>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</si>
  <si>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</si>
  <si>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</si>
  <si>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</si>
  <si>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</si>
  <si>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</si>
  <si>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</si>
  <si>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</si>
  <si>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</si>
  <si>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</si>
  <si>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</si>
  <si>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</si>
  <si>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</si>
  <si>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</si>
  <si>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</si>
  <si>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</si>
  <si>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</si>
  <si>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</si>
  <si>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</si>
  <si>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</si>
  <si>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</si>
  <si>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</si>
  <si>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</si>
  <si>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</si>
  <si>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</si>
  <si>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</si>
  <si>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</si>
  <si>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</si>
  <si>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</si>
  <si>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</si>
  <si>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</si>
  <si>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</si>
  <si>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</si>
  <si>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</si>
  <si>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</si>
  <si>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</si>
  <si>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</si>
  <si>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</si>
  <si>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</si>
  <si>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</si>
  <si>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</si>
  <si>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</si>
  <si>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</si>
  <si>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</si>
  <si>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</si>
  <si>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</si>
  <si>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</si>
  <si>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</si>
  <si>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</si>
  <si>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</si>
  <si>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</si>
  <si>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</si>
  <si>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</si>
  <si>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</si>
  <si>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</si>
  <si>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</si>
  <si>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</si>
  <si>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</si>
  <si>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</si>
  <si>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</si>
  <si>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</si>
  <si>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</si>
  <si>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</si>
  <si>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</si>
  <si>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</si>
  <si>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</si>
  <si>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</si>
  <si>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</si>
  <si>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</si>
  <si>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</si>
  <si>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</si>
  <si>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</si>
  <si>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</si>
  <si>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</si>
  <si>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</si>
  <si>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</si>
  <si>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</si>
  <si>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</si>
  <si>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</si>
  <si>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</si>
  <si>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</si>
  <si>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</si>
  <si>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</si>
  <si>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</si>
  <si>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</si>
  <si>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</si>
  <si>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</si>
  <si>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</si>
  <si>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</si>
  <si>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</si>
  <si>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</si>
  <si>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</si>
  <si>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</si>
  <si>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</si>
  <si>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</si>
  <si>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</si>
  <si>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</si>
  <si>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</si>
  <si>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</si>
  <si>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</si>
  <si>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</si>
  <si>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</si>
  <si>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</si>
  <si>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</si>
  <si>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</si>
  <si>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</si>
  <si>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</si>
  <si>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</si>
  <si>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</si>
  <si>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</si>
  <si>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</si>
  <si>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</si>
  <si>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</si>
  <si>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</si>
  <si>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</si>
  <si>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</si>
  <si>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</si>
  <si>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</si>
  <si>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</si>
  <si>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</si>
  <si>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</si>
  <si>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</si>
  <si>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</si>
  <si>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</si>
  <si>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</si>
  <si>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</si>
  <si>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</si>
  <si>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</si>
  <si>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</si>
  <si>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</si>
  <si>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</si>
  <si>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</si>
  <si>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</si>
  <si>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</si>
  <si>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</si>
  <si>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</si>
  <si>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</si>
  <si>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</si>
  <si>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</si>
  <si>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</si>
  <si>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</si>
  <si>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</si>
  <si>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</si>
  <si>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</si>
  <si>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</si>
  <si>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</si>
  <si>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</si>
  <si>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</si>
  <si>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</si>
  <si>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</si>
  <si>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</si>
  <si>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</si>
  <si>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</si>
  <si>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</si>
  <si>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</si>
  <si>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</si>
  <si>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</si>
  <si>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</si>
  <si>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</si>
  <si>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</si>
  <si>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</si>
  <si>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</si>
  <si>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</si>
  <si>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</si>
  <si>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</si>
  <si>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</si>
  <si>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</si>
  <si>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</si>
  <si>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</si>
  <si>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</si>
  <si>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</si>
  <si>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</si>
  <si>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</si>
  <si>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</si>
  <si>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</si>
  <si>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</si>
  <si>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</si>
  <si>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</si>
  <si>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</si>
  <si>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</si>
  <si>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</si>
  <si>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</si>
  <si>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</si>
  <si>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</si>
  <si>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</si>
  <si>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</si>
  <si>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</si>
  <si>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</si>
  <si>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</si>
  <si>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</si>
  <si>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</si>
  <si>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</si>
  <si>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</si>
  <si>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</si>
  <si>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</si>
  <si>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</si>
  <si>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</si>
  <si>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</si>
  <si>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</si>
  <si>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</si>
  <si>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</si>
  <si>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</si>
  <si>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</si>
  <si>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</si>
  <si>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</si>
  <si>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</si>
  <si>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</si>
  <si>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</si>
  <si>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</si>
  <si>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</si>
  <si>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</si>
  <si>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</si>
  <si>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</si>
  <si>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</si>
  <si>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</si>
  <si>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</si>
  <si>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</si>
  <si>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</si>
  <si>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</si>
  <si>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</si>
  <si>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</si>
  <si>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</si>
  <si>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</si>
  <si>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</si>
  <si>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</si>
  <si>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</si>
  <si>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</si>
  <si>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</si>
  <si>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</si>
  <si>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</si>
  <si>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</si>
  <si>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</si>
  <si>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</si>
  <si>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</si>
  <si>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</si>
  <si>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</si>
  <si>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</si>
  <si>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</si>
  <si>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</si>
  <si>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</si>
  <si>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</si>
  <si>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</si>
  <si>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</si>
  <si>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</si>
  <si>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</si>
  <si>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</si>
  <si>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</si>
  <si>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</si>
  <si>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</si>
  <si>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</si>
  <si>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</si>
  <si>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</si>
  <si>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</si>
  <si>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</si>
  <si>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</si>
  <si>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</si>
  <si>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</si>
  <si>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</si>
  <si>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</si>
  <si>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</si>
  <si>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</si>
  <si>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</si>
  <si>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</si>
  <si>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</si>
  <si>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</si>
  <si>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</si>
  <si>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</si>
  <si>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</si>
  <si>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</si>
  <si>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</si>
  <si>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</si>
  <si>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</si>
  <si>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</si>
  <si>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</si>
  <si>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</si>
  <si>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</si>
  <si>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</si>
  <si>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</si>
  <si>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</si>
  <si>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</si>
  <si>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</si>
  <si>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</si>
  <si>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</si>
  <si>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</si>
  <si>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</si>
  <si>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</si>
  <si>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</si>
  <si>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</si>
  <si>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</si>
  <si>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</si>
  <si>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</si>
  <si>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</si>
  <si>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</si>
  <si>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</si>
  <si>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</si>
  <si>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</si>
  <si>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</si>
  <si>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</si>
  <si>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</si>
  <si>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</si>
  <si>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</si>
  <si>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</si>
  <si>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</si>
  <si>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</si>
  <si>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</si>
  <si>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</si>
  <si>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</si>
  <si>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</si>
  <si>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</si>
  <si>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</si>
  <si>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</si>
  <si>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</si>
  <si>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</si>
  <si>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</si>
  <si>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</si>
  <si>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</si>
  <si>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</si>
  <si>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</si>
  <si>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</si>
  <si>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</si>
  <si>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</si>
  <si>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</si>
  <si>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</si>
  <si>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</si>
  <si>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</si>
  <si>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</si>
  <si>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</si>
  <si>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</si>
  <si>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</si>
  <si>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</si>
  <si>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</si>
  <si>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</si>
  <si>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</si>
  <si>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</si>
  <si>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</si>
  <si>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</si>
  <si>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</si>
  <si>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</si>
  <si>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</si>
  <si>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</si>
  <si>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</si>
  <si>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</si>
  <si>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</si>
  <si>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</si>
  <si>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</si>
  <si>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</si>
  <si>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</si>
  <si>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</si>
  <si>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</si>
  <si>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</si>
  <si>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</si>
  <si>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</si>
  <si>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</si>
  <si>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</si>
  <si>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</si>
  <si>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</si>
  <si>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</si>
  <si>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</si>
  <si>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</si>
  <si>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</si>
  <si>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</si>
  <si>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</si>
  <si>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</si>
  <si>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</si>
  <si>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</si>
  <si>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</si>
  <si>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</si>
  <si>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</si>
  <si>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</si>
  <si>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</si>
  <si>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</si>
  <si>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</si>
  <si>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</si>
  <si>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</si>
  <si>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</si>
  <si>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</si>
  <si>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</si>
  <si>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</si>
  <si>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</si>
  <si>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</si>
  <si>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</si>
  <si>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</si>
  <si>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</si>
  <si>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</si>
  <si>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</si>
  <si>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</si>
  <si>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</si>
  <si>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</si>
  <si>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</si>
  <si>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</si>
  <si>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</si>
  <si>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</si>
  <si>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</si>
  <si>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</si>
  <si>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</si>
  <si>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</si>
  <si>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</si>
  <si>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</si>
  <si>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</si>
  <si>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</si>
  <si>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</si>
  <si>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</si>
  <si>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</si>
  <si>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</si>
  <si>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</si>
  <si>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</si>
  <si>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</si>
  <si>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</si>
  <si>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</si>
  <si>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</si>
  <si>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</si>
  <si>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</si>
  <si>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</si>
  <si>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</si>
  <si>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</si>
  <si>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</si>
  <si>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</si>
  <si>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</si>
  <si>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</si>
  <si>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</si>
  <si>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</si>
  <si>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</si>
  <si>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</si>
  <si>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</si>
  <si>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</si>
  <si>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</si>
  <si>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</si>
  <si>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</si>
  <si>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</si>
  <si>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</si>
  <si>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</si>
  <si>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</si>
  <si>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</si>
  <si>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</si>
  <si>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</si>
  <si>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</si>
  <si>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</si>
  <si>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</si>
  <si>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</si>
  <si>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</si>
  <si>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</si>
  <si>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</si>
  <si>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</si>
  <si>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</si>
  <si>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</si>
  <si>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</si>
  <si>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</si>
  <si>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</si>
  <si>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</si>
  <si>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</si>
  <si>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</si>
  <si>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</si>
  <si>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</si>
  <si>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</si>
  <si>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</si>
  <si>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</si>
  <si>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</si>
  <si>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</si>
  <si>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</si>
  <si>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</si>
  <si>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</si>
  <si>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</si>
  <si>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</si>
  <si>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</si>
  <si>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</si>
  <si>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</si>
  <si>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</si>
  <si>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</si>
  <si>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</si>
  <si>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</si>
  <si>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</si>
  <si>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</si>
  <si>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</si>
  <si>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</si>
  <si>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</si>
  <si>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</si>
  <si>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</si>
  <si>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</si>
  <si>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</si>
  <si>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</si>
  <si>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</si>
  <si>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</si>
  <si>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</si>
  <si>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</si>
  <si>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</si>
  <si>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</si>
  <si>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</si>
  <si>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</si>
  <si>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</si>
  <si>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</si>
  <si>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</si>
  <si>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</si>
  <si>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</si>
  <si>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</si>
  <si>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</si>
  <si>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</si>
  <si>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</si>
  <si>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</si>
  <si>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</si>
  <si>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</si>
  <si>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</si>
  <si>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</si>
  <si>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</si>
  <si>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</si>
  <si>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</si>
  <si>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</si>
  <si>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</si>
  <si>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</si>
  <si>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</si>
  <si>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</si>
  <si>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</si>
  <si>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</si>
  <si>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</si>
  <si>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</si>
  <si>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</si>
  <si>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</si>
  <si>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</si>
  <si>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</si>
  <si>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</si>
  <si>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</si>
  <si>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</si>
  <si>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</si>
  <si>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</si>
  <si>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</si>
  <si>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</si>
  <si>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</si>
  <si>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</si>
  <si>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</si>
  <si>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</si>
  <si>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</si>
  <si>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</si>
  <si>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</si>
  <si>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</si>
  <si>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</si>
  <si>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</si>
  <si>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</si>
  <si>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</si>
  <si>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</si>
  <si>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</si>
  <si>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</si>
  <si>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</si>
  <si>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</si>
  <si>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</si>
  <si>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</si>
  <si>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</si>
  <si>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</si>
  <si>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</si>
  <si>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</si>
  <si>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</si>
  <si>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</si>
  <si>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</si>
  <si>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</si>
  <si>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</si>
  <si>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</si>
  <si>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</si>
  <si>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</si>
  <si>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</si>
  <si>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</si>
  <si>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</si>
  <si>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</si>
  <si>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</si>
  <si>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</si>
  <si>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</si>
  <si>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</si>
  <si>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</si>
  <si>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</si>
  <si>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</si>
  <si>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</si>
  <si>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</si>
  <si>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</si>
  <si>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</si>
  <si>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</si>
  <si>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</si>
  <si>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</si>
  <si>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</si>
  <si>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</si>
  <si>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</si>
  <si>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</si>
  <si>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</si>
  <si>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</si>
  <si>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</si>
  <si>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</si>
  <si>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</si>
  <si>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</si>
  <si>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</si>
  <si>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</si>
  <si>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</si>
  <si>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</si>
  <si>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</si>
  <si>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</si>
  <si>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</si>
  <si>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</si>
  <si>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</si>
  <si>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</si>
  <si>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</si>
  <si>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</si>
  <si>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</si>
  <si>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</si>
  <si>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</si>
  <si>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</si>
  <si>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</si>
  <si>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</si>
  <si>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</si>
  <si>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</si>
  <si>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</si>
  <si>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</si>
  <si>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</si>
  <si>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</si>
  <si>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</si>
  <si>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</si>
  <si>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</si>
  <si>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</si>
  <si>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</si>
  <si>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</si>
  <si>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</si>
  <si>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</si>
  <si>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</si>
  <si>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</si>
  <si>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</si>
  <si>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</si>
  <si>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</si>
  <si>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</si>
  <si>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</si>
  <si>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</si>
  <si>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</si>
  <si>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</si>
  <si>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</si>
  <si>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</si>
  <si>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</si>
  <si>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</si>
  <si>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</si>
  <si>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</si>
  <si>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</si>
  <si>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</si>
  <si>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</si>
  <si>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</si>
  <si>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</si>
  <si>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</si>
  <si>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</si>
  <si>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</si>
  <si>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</si>
  <si>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</si>
  <si>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</si>
  <si>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</si>
  <si>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</si>
  <si>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</si>
  <si>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</si>
  <si>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</si>
  <si>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</si>
  <si>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</si>
  <si>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</si>
  <si>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</si>
  <si>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</si>
  <si>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</si>
  <si>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</si>
  <si>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</si>
  <si>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</si>
  <si>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</si>
  <si>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</si>
  <si>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</si>
  <si>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</si>
  <si>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</si>
  <si>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</si>
  <si>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</si>
  <si>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</si>
  <si>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</si>
  <si>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</si>
  <si>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</si>
  <si>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</si>
  <si>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</si>
  <si>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</si>
  <si>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</si>
  <si>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</si>
  <si>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</si>
  <si>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</si>
  <si>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</si>
  <si>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</si>
  <si>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</si>
  <si>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</si>
  <si>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</si>
  <si>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</si>
  <si>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</si>
  <si>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</si>
  <si>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</si>
  <si>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</si>
  <si>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</si>
  <si>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</si>
  <si>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</si>
  <si>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</si>
  <si>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</si>
  <si>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</si>
  <si>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</si>
  <si>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</si>
  <si>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</si>
  <si>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</si>
  <si>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</si>
  <si>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</si>
  <si>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</si>
  <si>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</si>
  <si>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</si>
  <si>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</si>
  <si>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</si>
  <si>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</si>
  <si>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</si>
  <si>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</si>
  <si>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</si>
  <si>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</si>
  <si>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</si>
  <si>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</si>
  <si>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</si>
  <si>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</si>
  <si>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</si>
  <si>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</si>
  <si>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</si>
  <si>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</si>
  <si>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</si>
  <si>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</si>
  <si>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</si>
  <si>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</si>
  <si>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</si>
  <si>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</si>
  <si>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</si>
  <si>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</si>
  <si>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</si>
  <si>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</si>
  <si>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</si>
  <si>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</si>
  <si>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</si>
  <si>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</si>
  <si>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</si>
  <si>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</si>
  <si>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</si>
  <si>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</si>
  <si>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</si>
  <si>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</si>
  <si>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</si>
  <si>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</si>
  <si>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</si>
  <si>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</si>
  <si>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</si>
  <si>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</si>
  <si>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</si>
  <si>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</si>
  <si>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</si>
  <si>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</si>
  <si>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</si>
  <si>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</si>
  <si>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</si>
  <si>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</si>
  <si>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</si>
  <si>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</si>
  <si>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</si>
  <si>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</si>
  <si>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</si>
  <si>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</si>
  <si>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</si>
  <si>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</si>
  <si>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</si>
  <si>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</si>
  <si>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</si>
  <si>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</si>
  <si>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</si>
  <si>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</si>
  <si>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</si>
  <si>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</si>
  <si>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</si>
  <si>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</si>
  <si>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</si>
  <si>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</si>
  <si>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</si>
  <si>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</si>
  <si>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</si>
  <si>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</si>
  <si>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</si>
  <si>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</si>
  <si>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</si>
  <si>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</si>
  <si>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</si>
  <si>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</si>
  <si>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</si>
  <si>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</si>
  <si>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</si>
  <si>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</si>
  <si>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</si>
  <si>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</si>
  <si>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</si>
  <si>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</si>
  <si>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</si>
  <si>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</si>
  <si>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</si>
  <si>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</si>
  <si>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</si>
  <si>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</si>
  <si>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</si>
  <si>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</si>
  <si>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</si>
  <si>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</si>
  <si>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</si>
  <si>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</si>
  <si>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</si>
  <si>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</si>
  <si>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</si>
  <si>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</si>
  <si>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</si>
  <si>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</si>
  <si>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</si>
  <si>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</si>
  <si>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</si>
  <si>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</si>
  <si>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</si>
  <si>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</si>
  <si>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</si>
  <si>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</si>
  <si>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</si>
  <si>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</si>
  <si>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</si>
  <si>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</si>
  <si>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</si>
  <si>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</si>
  <si>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</si>
  <si>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</si>
  <si>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</si>
  <si>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</si>
  <si>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</si>
  <si>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</si>
  <si>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</si>
  <si>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</si>
  <si>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</si>
  <si>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</si>
  <si>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</si>
  <si>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</si>
  <si>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</si>
  <si>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</si>
  <si>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</si>
  <si>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</si>
  <si>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</si>
  <si>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</si>
  <si>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</si>
  <si>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</si>
  <si>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</si>
  <si>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</si>
  <si>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</si>
  <si>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</si>
  <si>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</si>
  <si>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</si>
  <si>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</si>
  <si>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</si>
  <si>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</si>
  <si>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</si>
  <si>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</si>
  <si>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</si>
  <si>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</si>
  <si>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</si>
  <si>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</si>
  <si>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</si>
  <si>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</si>
  <si>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</si>
  <si>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</si>
  <si>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</si>
  <si>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</si>
  <si>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</si>
  <si>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</si>
  <si>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</si>
  <si>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</si>
  <si>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</si>
  <si>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</si>
  <si>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</si>
  <si>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</si>
  <si>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</si>
  <si>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</si>
  <si>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</si>
  <si>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</si>
  <si>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</si>
  <si>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</si>
  <si>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</si>
  <si>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</si>
  <si>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</si>
  <si>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</si>
  <si>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</si>
  <si>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</si>
  <si>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</si>
  <si>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</si>
  <si>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</si>
  <si>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</si>
  <si>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</si>
  <si>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</si>
  <si>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</si>
  <si>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</si>
  <si>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</si>
  <si>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</si>
  <si>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</si>
  <si>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</si>
  <si>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</si>
  <si>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</si>
  <si>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</si>
  <si>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</si>
  <si>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</si>
  <si>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</si>
  <si>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</si>
  <si>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</si>
  <si>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</si>
  <si>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</si>
  <si>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</si>
  <si>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</si>
  <si>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</si>
  <si>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</si>
  <si>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</si>
  <si>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</si>
  <si>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</si>
  <si>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</si>
  <si>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</si>
  <si>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</si>
  <si>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</si>
  <si>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</si>
  <si>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</si>
  <si>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</si>
  <si>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</si>
  <si>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</si>
  <si>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</si>
  <si>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</si>
  <si>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</si>
  <si>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</si>
  <si>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</si>
  <si>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</si>
  <si>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</si>
  <si>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</si>
  <si>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</si>
  <si>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</si>
  <si>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</si>
  <si>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</si>
  <si>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</si>
  <si>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</si>
  <si>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</si>
  <si>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</si>
  <si>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</si>
  <si>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</si>
  <si>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</si>
  <si>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</si>
  <si>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</si>
  <si>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</si>
  <si>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</si>
  <si>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</si>
  <si>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</si>
  <si>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</si>
  <si>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</si>
  <si>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</si>
  <si>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</si>
  <si>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</si>
  <si>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</si>
  <si>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</si>
  <si>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</si>
  <si>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</si>
  <si>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</si>
  <si>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</si>
  <si>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</si>
  <si>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</si>
  <si>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</si>
  <si>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</si>
  <si>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</si>
  <si>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</si>
  <si>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</si>
  <si>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</si>
  <si>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</si>
  <si>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</si>
  <si>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</si>
  <si>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</si>
  <si>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</si>
  <si>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</si>
  <si>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</si>
  <si>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</si>
  <si>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</si>
  <si>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</si>
  <si>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</si>
  <si>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</si>
  <si>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</si>
  <si>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</si>
  <si>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</si>
  <si>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</si>
  <si>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</si>
  <si>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</si>
  <si>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</si>
  <si>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</si>
  <si>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</si>
  <si>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</si>
  <si>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</si>
  <si>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</si>
  <si>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</si>
  <si>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</si>
  <si>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</si>
  <si>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</si>
  <si>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</si>
  <si>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</si>
  <si>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</si>
  <si>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</si>
  <si>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</si>
  <si>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</si>
  <si>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</si>
  <si>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</si>
  <si>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</si>
  <si>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</si>
  <si>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</si>
  <si>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</si>
  <si>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</si>
  <si>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</si>
  <si>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</si>
  <si>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</si>
  <si>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</si>
  <si>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</si>
  <si>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</si>
  <si>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</si>
  <si>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</si>
  <si>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</si>
  <si>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</si>
  <si>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</si>
  <si>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</si>
  <si>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</si>
  <si>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</si>
  <si>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</si>
  <si>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</si>
  <si>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</si>
  <si>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</si>
  <si>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</si>
  <si>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</si>
  <si>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</si>
  <si>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</si>
  <si>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</si>
  <si>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</si>
  <si>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</si>
  <si>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</si>
  <si>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</si>
  <si>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</si>
  <si>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</si>
  <si>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</si>
  <si>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</si>
  <si>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</si>
  <si>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</si>
  <si>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</si>
  <si>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</si>
  <si>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</si>
  <si>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</si>
  <si>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</si>
  <si>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</si>
  <si>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</si>
  <si>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</si>
  <si>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</si>
  <si>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</si>
  <si>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</si>
  <si>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</si>
  <si>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</si>
  <si>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</si>
  <si>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</si>
  <si>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</si>
  <si>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</si>
  <si>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</si>
  <si>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</si>
  <si>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</si>
  <si>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</si>
  <si>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</si>
  <si>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</si>
  <si>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</si>
  <si>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</si>
  <si>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</si>
  <si>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</si>
  <si>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</si>
  <si>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</si>
  <si>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</si>
  <si>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</si>
  <si>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</si>
  <si>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</si>
  <si>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</si>
  <si>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</si>
  <si>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</si>
  <si>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</si>
  <si>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</si>
  <si>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</si>
  <si>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</si>
  <si>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</si>
  <si>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</si>
  <si>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</si>
  <si>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</si>
  <si>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</si>
  <si>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</si>
  <si>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</si>
  <si>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</si>
  <si>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</si>
  <si>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</si>
  <si>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</si>
  <si>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</si>
  <si>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</si>
  <si>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</si>
  <si>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</si>
  <si>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</si>
  <si>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</si>
  <si>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</si>
  <si>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</si>
  <si>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</si>
  <si>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</si>
  <si>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</si>
  <si>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</si>
  <si>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</si>
  <si>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</si>
  <si>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</si>
  <si>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</si>
  <si>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</si>
  <si>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</si>
  <si>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</si>
  <si>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</si>
  <si>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</si>
  <si>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</si>
  <si>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</si>
  <si>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</si>
  <si>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</si>
  <si>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</si>
  <si>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</si>
  <si>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</si>
  <si>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</si>
  <si>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</si>
  <si>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</si>
  <si>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</si>
  <si>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</si>
  <si>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</si>
  <si>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</si>
  <si>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</si>
  <si>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</si>
  <si>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</si>
  <si>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</si>
  <si>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</si>
  <si>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</si>
  <si>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</si>
  <si>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</si>
  <si>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</si>
  <si>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</si>
  <si>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</si>
  <si>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</si>
  <si>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</si>
  <si>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</si>
  <si>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</si>
  <si>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</si>
  <si>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</si>
  <si>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</si>
  <si>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</si>
  <si>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</si>
  <si>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</si>
  <si>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</si>
  <si>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</si>
  <si>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</si>
  <si>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</si>
  <si>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</si>
  <si>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</si>
  <si>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</si>
  <si>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</si>
  <si>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</si>
  <si>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</si>
  <si>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</si>
  <si>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</si>
  <si>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</si>
  <si>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</si>
  <si>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</si>
  <si>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</si>
  <si>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</si>
  <si>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</si>
  <si>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</si>
  <si>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</si>
  <si>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</si>
  <si>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</si>
  <si>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</si>
  <si>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</si>
  <si>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</si>
  <si>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</si>
  <si>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</si>
  <si>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</si>
  <si>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</si>
  <si>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</si>
  <si>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</si>
  <si>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</si>
  <si>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</si>
  <si>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</si>
  <si>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</si>
  <si>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</si>
  <si>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</si>
  <si>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</si>
  <si>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</si>
  <si>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</si>
  <si>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</si>
  <si>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</si>
  <si>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</si>
  <si>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</si>
  <si>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</si>
  <si>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</si>
  <si>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</si>
  <si>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</si>
  <si>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</si>
  <si>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</si>
  <si>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</si>
  <si>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</si>
  <si>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</si>
  <si>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</si>
  <si>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</si>
  <si>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</si>
  <si>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</si>
  <si>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</si>
  <si>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</si>
  <si>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</si>
  <si>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</si>
  <si>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</si>
  <si>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</si>
  <si>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</si>
  <si>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</si>
  <si>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</si>
  <si>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</si>
  <si>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</si>
  <si>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</si>
  <si>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</si>
  <si>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</si>
  <si>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</si>
  <si>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</si>
  <si>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</si>
  <si>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</si>
  <si>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</si>
  <si>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</si>
  <si>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</si>
  <si>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</si>
  <si>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</si>
  <si>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</si>
  <si>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</si>
  <si>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</si>
  <si>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</si>
  <si>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</si>
  <si>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</si>
  <si>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</si>
  <si>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</si>
  <si>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</si>
  <si>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</si>
  <si>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</si>
  <si>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</si>
  <si>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</si>
  <si>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</si>
  <si>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</si>
  <si>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</si>
  <si>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</si>
  <si>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</si>
  <si>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</si>
  <si>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</si>
  <si>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</si>
  <si>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</si>
  <si>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</si>
  <si>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</si>
  <si>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</si>
  <si>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</si>
  <si>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</si>
  <si>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</si>
  <si>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</si>
  <si>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</si>
  <si>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</si>
  <si>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</si>
  <si>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</si>
  <si>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</si>
  <si>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</si>
  <si>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</si>
  <si>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</si>
  <si>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</si>
  <si>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</si>
  <si>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</si>
  <si>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</si>
  <si>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</si>
  <si>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</si>
  <si>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</si>
  <si>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</si>
  <si>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</si>
  <si>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</si>
  <si>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</si>
  <si>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</si>
  <si>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</si>
  <si>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</si>
  <si>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</si>
  <si>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</si>
  <si>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</si>
  <si>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</si>
  <si>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</si>
  <si>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</si>
  <si>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</si>
  <si>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</si>
  <si>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</si>
  <si>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</si>
  <si>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</si>
  <si>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</si>
  <si>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</si>
  <si>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</si>
  <si>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</si>
  <si>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</si>
  <si>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</si>
  <si>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</si>
  <si>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</si>
  <si>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</si>
  <si>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</si>
  <si>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</si>
  <si>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</si>
  <si>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</si>
  <si>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</si>
  <si>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</si>
  <si>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</si>
  <si>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</si>
  <si>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</si>
  <si>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</si>
  <si>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</si>
  <si>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</si>
  <si>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</si>
  <si>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</si>
  <si>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</si>
  <si>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</si>
  <si>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</si>
  <si>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</si>
  <si>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</si>
  <si>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</si>
  <si>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</si>
  <si>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</si>
  <si>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</si>
  <si>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</si>
  <si>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</si>
  <si>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</si>
  <si>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</si>
  <si>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</si>
  <si>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</si>
  <si>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</si>
  <si>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</si>
  <si>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</si>
  <si>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</si>
  <si>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</si>
  <si>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</si>
  <si>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</si>
  <si>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</si>
  <si>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</si>
  <si>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</si>
  <si>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</si>
  <si>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</si>
  <si>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</si>
  <si>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</si>
  <si>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</si>
  <si>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</si>
  <si>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</si>
  <si>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</si>
  <si>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</si>
  <si>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</si>
  <si>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</si>
  <si>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</si>
  <si>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</si>
  <si>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</si>
  <si>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</si>
  <si>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</si>
  <si>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</si>
  <si>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</si>
  <si>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</si>
  <si>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</si>
  <si>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</si>
  <si>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</si>
  <si>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</si>
  <si>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</si>
  <si>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</si>
  <si>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</si>
  <si>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</si>
  <si>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</si>
  <si>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</si>
  <si>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</si>
  <si>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</si>
  <si>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</si>
  <si>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</si>
  <si>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</si>
  <si>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</si>
  <si>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</si>
  <si>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</si>
  <si>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</si>
  <si>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</si>
  <si>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</si>
  <si>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</si>
  <si>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</si>
  <si>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</si>
  <si>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</si>
  <si>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</si>
  <si>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</si>
  <si>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</si>
  <si>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</si>
  <si>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</si>
  <si>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</si>
  <si>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</si>
  <si>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</si>
  <si>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</si>
  <si>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</si>
  <si>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</si>
  <si>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</si>
  <si>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</si>
  <si>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</si>
  <si>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</si>
  <si>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</si>
  <si>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</si>
  <si>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</si>
  <si>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</si>
  <si>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</si>
  <si>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</si>
  <si>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</si>
  <si>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</si>
  <si>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</si>
  <si>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</si>
  <si>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</si>
  <si>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</si>
  <si>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</si>
  <si>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</si>
  <si>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</si>
  <si>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</si>
  <si>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</si>
  <si>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</si>
  <si>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</si>
  <si>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</si>
  <si>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</si>
  <si>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</si>
  <si>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</si>
  <si>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</si>
  <si>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</si>
  <si>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</si>
  <si>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</si>
  <si>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</si>
  <si>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</si>
  <si>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</si>
  <si>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</si>
  <si>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</si>
  <si>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</si>
  <si>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</si>
  <si>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</si>
  <si>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</si>
  <si>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</si>
  <si>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</si>
  <si>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</si>
  <si>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</si>
  <si>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</si>
  <si>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</si>
  <si>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</si>
  <si>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</si>
  <si>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</si>
  <si>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</si>
  <si>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</si>
  <si>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</si>
  <si>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</si>
  <si>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</si>
  <si>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</si>
  <si>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</si>
  <si>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</si>
  <si>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</si>
  <si>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</si>
  <si>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</si>
  <si>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</si>
  <si>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</si>
  <si>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</si>
  <si>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</si>
  <si>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</si>
  <si>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</si>
  <si>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</si>
  <si>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</si>
  <si>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</si>
  <si>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</si>
  <si>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</si>
  <si>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</si>
  <si>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</si>
  <si>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</si>
  <si>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</si>
  <si>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</si>
  <si>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</si>
  <si>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</si>
  <si>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</si>
  <si>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</si>
  <si>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</si>
  <si>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</si>
  <si>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</si>
  <si>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</si>
  <si>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</si>
  <si>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</si>
  <si>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</si>
  <si>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</si>
  <si>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</si>
  <si>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</si>
  <si>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</si>
  <si>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</si>
  <si>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</si>
  <si>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</si>
  <si>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</si>
  <si>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</si>
  <si>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</si>
  <si>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</si>
  <si>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</si>
  <si>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</si>
  <si>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</si>
  <si>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</si>
  <si>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</si>
  <si>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</si>
  <si>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</si>
  <si>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</si>
  <si>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</si>
  <si>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</si>
  <si>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</si>
  <si>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</si>
  <si>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</si>
  <si>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</si>
  <si>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</si>
  <si>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</si>
  <si>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</si>
  <si>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</si>
  <si>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</si>
  <si>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</si>
  <si>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</si>
  <si>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</si>
  <si>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</si>
  <si>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</si>
  <si>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</si>
  <si>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</si>
  <si>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</si>
  <si>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</si>
  <si>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</si>
  <si>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</si>
  <si>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</si>
  <si>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</si>
  <si>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</si>
  <si>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</si>
  <si>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</si>
  <si>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</si>
  <si>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</si>
  <si>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</si>
  <si>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</si>
  <si>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</si>
  <si>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</si>
  <si>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</si>
  <si>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</si>
  <si>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</si>
  <si>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</si>
  <si>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</si>
  <si>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</si>
  <si>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</si>
  <si>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</si>
  <si>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</si>
  <si>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</si>
  <si>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</si>
  <si>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</si>
  <si>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</si>
  <si>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</si>
  <si>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</si>
  <si>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</si>
  <si>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</si>
  <si>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</si>
  <si>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</si>
  <si>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</si>
  <si>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</si>
  <si>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</si>
  <si>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</si>
  <si>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</si>
  <si>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</si>
  <si>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</si>
  <si>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</si>
  <si>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</si>
  <si>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</si>
  <si>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</si>
  <si>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</si>
  <si>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</si>
  <si>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</si>
  <si>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</si>
  <si>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</si>
  <si>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</si>
  <si>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</si>
  <si>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</si>
  <si>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</si>
  <si>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</si>
  <si>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</si>
  <si>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</si>
  <si>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</si>
  <si>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</si>
  <si>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</si>
  <si>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</si>
  <si>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</si>
  <si>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</si>
  <si>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</si>
  <si>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</si>
  <si>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</si>
  <si>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</si>
  <si>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</si>
  <si>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</si>
  <si>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</si>
  <si>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</si>
  <si>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</si>
  <si>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</si>
  <si>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</si>
  <si>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</si>
  <si>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</si>
  <si>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</si>
  <si>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</si>
  <si>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</si>
  <si>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</si>
  <si>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</si>
  <si>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</si>
  <si>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</si>
  <si>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</si>
  <si>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</si>
  <si>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</si>
  <si>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</si>
  <si>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</si>
  <si>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</si>
  <si>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</si>
  <si>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</si>
  <si>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</si>
  <si>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</si>
  <si>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</si>
  <si>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</si>
  <si>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</si>
  <si>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</si>
  <si>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</si>
  <si>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</si>
  <si>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</si>
  <si>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</si>
  <si>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</si>
  <si>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</si>
  <si>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</si>
  <si>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</si>
  <si>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</si>
  <si>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</si>
  <si>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</si>
  <si>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</si>
  <si>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</si>
  <si>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</si>
  <si>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</si>
  <si>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</si>
  <si>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</si>
  <si>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</si>
  <si>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</si>
  <si>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</si>
  <si>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</si>
  <si>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</si>
  <si>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</si>
  <si>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</si>
  <si>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</si>
  <si>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</si>
  <si>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</si>
  <si>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</si>
  <si>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</si>
  <si>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</si>
  <si>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</si>
  <si>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</si>
  <si>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</si>
  <si>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</si>
  <si>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</si>
  <si>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</si>
  <si>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</si>
  <si>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</si>
  <si>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</si>
  <si>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</si>
  <si>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</si>
  <si>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</si>
  <si>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</si>
  <si>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</si>
  <si>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</si>
  <si>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</si>
  <si>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</si>
  <si>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</si>
  <si>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</si>
  <si>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</si>
  <si>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</si>
  <si>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</si>
  <si>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</si>
  <si>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</si>
  <si>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</si>
  <si>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</si>
  <si>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</si>
  <si>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</si>
  <si>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</si>
  <si>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</si>
  <si>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</si>
  <si>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</si>
  <si>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</si>
  <si>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</si>
  <si>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</si>
  <si>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</si>
  <si>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</si>
  <si>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</si>
  <si>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</si>
  <si>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</si>
  <si>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</si>
  <si>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</si>
  <si>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</si>
  <si>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</si>
  <si>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</si>
  <si>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</si>
  <si>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</si>
  <si>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</si>
  <si>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</si>
  <si>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</si>
  <si>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</si>
  <si>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</si>
  <si>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</si>
  <si>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</si>
  <si>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</si>
  <si>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</si>
  <si>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</si>
  <si>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</si>
  <si>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</si>
  <si>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</si>
  <si>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</si>
  <si>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</si>
  <si>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</si>
  <si>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</si>
  <si>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</si>
  <si>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</si>
  <si>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</si>
  <si>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</si>
  <si>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</si>
  <si>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</si>
  <si>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</si>
  <si>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</si>
  <si>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</si>
  <si>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</si>
  <si>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</si>
  <si>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</si>
  <si>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</si>
  <si>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</si>
  <si>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</si>
  <si>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</si>
  <si>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</si>
  <si>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</si>
  <si>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</si>
  <si>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</si>
  <si>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</si>
  <si>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</si>
  <si>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</si>
  <si>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</si>
  <si>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</si>
  <si>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</si>
  <si>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</si>
  <si>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</si>
  <si>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</si>
  <si>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</si>
  <si>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</si>
  <si>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</si>
  <si>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</si>
  <si>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</si>
  <si>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</si>
  <si>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</si>
  <si>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</si>
  <si>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</si>
  <si>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</si>
  <si>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</si>
  <si>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</si>
  <si>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</si>
  <si>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</si>
  <si>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</si>
  <si>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</si>
  <si>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</si>
  <si>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</si>
  <si>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</si>
  <si>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</si>
  <si>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</si>
  <si>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</si>
  <si>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</si>
  <si>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</si>
  <si>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</si>
  <si>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</si>
  <si>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</si>
  <si>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</si>
  <si>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</si>
  <si>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</si>
  <si>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</si>
  <si>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</si>
  <si>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</si>
  <si>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</si>
  <si>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</si>
  <si>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</si>
  <si>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</si>
  <si>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</si>
  <si>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</si>
  <si>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</si>
  <si>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</si>
  <si>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</si>
  <si>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</si>
  <si>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</si>
  <si>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</si>
  <si>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</si>
  <si>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</si>
  <si>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</si>
  <si>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</si>
  <si>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</si>
  <si>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</si>
  <si>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</si>
  <si>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</si>
  <si>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</si>
  <si>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</si>
  <si>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</si>
  <si>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</si>
  <si>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</si>
  <si>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</si>
  <si>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</si>
  <si>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</si>
  <si>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</si>
  <si>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</si>
  <si>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</si>
  <si>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</si>
  <si>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</si>
  <si>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</si>
  <si>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</si>
  <si>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</si>
  <si>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</si>
  <si>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</si>
  <si>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</si>
  <si>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</si>
  <si>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</si>
  <si>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</si>
  <si>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</si>
  <si>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</si>
  <si>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</si>
  <si>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</si>
  <si>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</si>
  <si>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</si>
  <si>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</si>
  <si>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</si>
  <si>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</si>
  <si>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</si>
  <si>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</si>
  <si>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</si>
  <si>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</si>
  <si>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</si>
  <si>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</si>
  <si>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</si>
  <si>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</si>
  <si>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</si>
  <si>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</si>
  <si>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</si>
  <si>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</si>
  <si>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</si>
  <si>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</si>
  <si>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</si>
  <si>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</si>
  <si>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</si>
  <si>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</si>
  <si>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</si>
  <si>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</si>
  <si>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</si>
  <si>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</si>
  <si>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</si>
  <si>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</si>
  <si>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</si>
  <si>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</si>
  <si>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</si>
  <si>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</si>
  <si>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</si>
  <si>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</si>
  <si>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</si>
  <si>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</si>
  <si>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</si>
  <si>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</si>
  <si>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</si>
  <si>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</si>
  <si>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</si>
  <si>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</si>
  <si>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</si>
  <si>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</si>
  <si>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</si>
  <si>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</si>
  <si>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</si>
  <si>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</si>
  <si>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</si>
  <si>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</si>
  <si>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</si>
  <si>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</si>
  <si>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</si>
  <si>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</si>
  <si>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</si>
  <si>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</si>
  <si>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</si>
  <si>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</si>
  <si>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</si>
  <si>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</si>
  <si>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</si>
  <si>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</si>
  <si>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</si>
  <si>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</si>
  <si>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</si>
  <si>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</si>
  <si>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</si>
  <si>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</si>
  <si>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</si>
  <si>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</si>
  <si>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</si>
  <si>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</si>
  <si>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</si>
  <si>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</si>
  <si>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</si>
  <si>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</si>
  <si>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</si>
  <si>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</si>
  <si>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</si>
  <si>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</si>
  <si>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</si>
  <si>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</si>
  <si>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</si>
  <si>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</si>
  <si>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</si>
  <si>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</si>
  <si>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</si>
  <si>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</si>
  <si>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</si>
  <si>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</si>
  <si>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</si>
  <si>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</si>
  <si>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</si>
  <si>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</si>
  <si>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</si>
  <si>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</si>
  <si>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</si>
  <si>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</si>
  <si>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</si>
  <si>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</si>
  <si>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</si>
  <si>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</si>
  <si>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</si>
  <si>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</si>
  <si>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</si>
  <si>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</si>
  <si>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</si>
  <si>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</si>
  <si>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</si>
  <si>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</si>
  <si>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</si>
  <si>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</si>
  <si>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</si>
  <si>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</si>
  <si>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</si>
  <si>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</si>
  <si>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</si>
  <si>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</si>
  <si>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</si>
  <si>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</si>
  <si>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</si>
  <si>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</si>
  <si>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</si>
  <si>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</si>
  <si>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</si>
  <si>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</si>
  <si>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</si>
  <si>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</si>
  <si>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</si>
  <si>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</si>
  <si>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</si>
  <si>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</si>
  <si>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</si>
  <si>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</si>
  <si>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</si>
  <si>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</si>
  <si>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</si>
  <si>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</si>
  <si>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</si>
  <si>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</si>
  <si>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</si>
  <si>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</si>
  <si>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</si>
  <si>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</si>
  <si>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</si>
  <si>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</si>
  <si>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</si>
  <si>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</si>
  <si>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</si>
  <si>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</si>
  <si>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</si>
  <si>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</si>
  <si>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</si>
  <si>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</si>
  <si>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</si>
  <si>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</si>
  <si>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</si>
  <si>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</si>
  <si>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</si>
  <si>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</si>
  <si>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</si>
  <si>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</si>
  <si>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</si>
  <si>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</si>
  <si>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</si>
  <si>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</si>
  <si>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</si>
  <si>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</si>
  <si>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</si>
  <si>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</si>
  <si>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</si>
  <si>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</si>
  <si>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</si>
  <si>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</si>
  <si>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</si>
  <si>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</si>
  <si>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</si>
  <si>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</si>
  <si>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</si>
  <si>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</si>
  <si>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</si>
  <si>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</si>
  <si>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</si>
  <si>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</si>
  <si>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</si>
  <si>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</si>
  <si>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</si>
  <si>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</si>
  <si>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</si>
  <si>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</si>
  <si>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</si>
  <si>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</si>
  <si>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</si>
  <si>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</si>
  <si>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</si>
  <si>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</si>
  <si>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</si>
  <si>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</si>
  <si>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</si>
  <si>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</si>
  <si>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</si>
  <si>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</si>
  <si>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</si>
  <si>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</si>
  <si>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</si>
  <si>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</si>
  <si>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</si>
  <si>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</si>
  <si>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</si>
  <si>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</si>
  <si>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</si>
  <si>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</si>
  <si>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</si>
  <si>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</si>
  <si>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</si>
  <si>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</si>
  <si>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</si>
  <si>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</si>
  <si>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</si>
  <si>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</si>
  <si>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</si>
  <si>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</si>
  <si>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</si>
  <si>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</si>
  <si>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</si>
  <si>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</si>
  <si>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</si>
  <si>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</si>
  <si>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</si>
  <si>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</si>
  <si>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</si>
  <si>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</si>
  <si>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</si>
  <si>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</si>
  <si>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</si>
  <si>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</si>
  <si>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</si>
  <si>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</si>
  <si>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</si>
  <si>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</si>
  <si>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</si>
  <si>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</si>
  <si>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</si>
  <si>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</si>
  <si>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</si>
  <si>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</si>
  <si>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</si>
  <si>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</si>
  <si>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</si>
  <si>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</si>
  <si>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</si>
  <si>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</si>
  <si>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</si>
  <si>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</si>
  <si>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</si>
  <si>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</si>
  <si>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</si>
  <si>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</si>
  <si>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</si>
  <si>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</si>
  <si>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</si>
  <si>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</si>
  <si>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</si>
  <si>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</si>
  <si>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</si>
  <si>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</si>
  <si>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</si>
  <si>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</si>
  <si>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</si>
  <si>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</si>
  <si>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</si>
  <si>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</si>
  <si>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</si>
  <si>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</si>
  <si>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</si>
  <si>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</si>
  <si>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</si>
  <si>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</si>
  <si>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</si>
  <si>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</si>
  <si>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</si>
  <si>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</si>
  <si>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</si>
  <si>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</si>
  <si>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</si>
  <si>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</si>
  <si>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</si>
  <si>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</si>
  <si>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</si>
  <si>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</si>
  <si>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</si>
  <si>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</si>
  <si>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</si>
  <si>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</si>
  <si>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</si>
  <si>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</si>
  <si>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</si>
  <si>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</si>
  <si>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</si>
  <si>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</si>
  <si>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</si>
  <si>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</si>
  <si>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</si>
  <si>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</si>
  <si>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</si>
  <si>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</si>
  <si>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</si>
  <si>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</si>
  <si>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</si>
  <si>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</si>
  <si>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</si>
  <si>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</si>
  <si>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</si>
  <si>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</si>
  <si>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</si>
  <si>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</si>
  <si>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</si>
  <si>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</si>
  <si>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</si>
  <si>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</si>
  <si>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</si>
  <si>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</si>
  <si>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</si>
  <si>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</si>
  <si>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</si>
  <si>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</si>
  <si>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</si>
  <si>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</si>
  <si>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</si>
  <si>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</si>
  <si>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</si>
  <si>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</si>
  <si>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</si>
  <si>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</si>
  <si>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</si>
  <si>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</si>
  <si>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</si>
  <si>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</si>
  <si>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</si>
  <si>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</si>
  <si>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</si>
  <si>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</si>
  <si>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</si>
  <si>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</si>
  <si>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</si>
  <si>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</si>
  <si>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</si>
  <si>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</si>
  <si>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</si>
  <si>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</si>
  <si>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</si>
  <si>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</si>
  <si>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</si>
  <si>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</si>
  <si>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</si>
  <si>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</si>
  <si>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</si>
  <si>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</si>
  <si>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</si>
  <si>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</si>
  <si>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</si>
  <si>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</si>
  <si>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</si>
  <si>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</si>
  <si>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</si>
  <si>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</si>
  <si>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</si>
  <si>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</si>
  <si>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</si>
  <si>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</si>
  <si>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</si>
  <si>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</si>
  <si>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</si>
  <si>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</si>
  <si>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</si>
  <si>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</si>
  <si>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</si>
  <si>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</si>
  <si>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</si>
  <si>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</si>
  <si>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</si>
  <si>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</si>
  <si>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</si>
  <si>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</si>
  <si>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</si>
  <si>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</si>
  <si>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</si>
  <si>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</si>
  <si>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</si>
  <si>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</si>
  <si>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</si>
  <si>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</si>
  <si>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</si>
  <si>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</si>
  <si>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</si>
  <si>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</si>
  <si>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</si>
  <si>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</si>
  <si>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</si>
  <si>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</si>
  <si>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</si>
  <si>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</si>
  <si>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</si>
  <si>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</si>
  <si>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</si>
  <si>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</si>
  <si>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</si>
  <si>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</si>
  <si>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</si>
  <si>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</si>
  <si>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</si>
  <si>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</si>
  <si>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</si>
  <si>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</si>
  <si>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</si>
  <si>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</si>
  <si>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</si>
  <si>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</si>
  <si>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</si>
  <si>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</si>
  <si>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</si>
  <si>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</si>
  <si>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</si>
  <si>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</si>
  <si>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</si>
  <si>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</si>
  <si>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</si>
  <si>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</si>
  <si>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</si>
  <si>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</si>
  <si>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</si>
  <si>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</si>
  <si>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</si>
  <si>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</si>
  <si>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</si>
  <si>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</si>
  <si>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</si>
  <si>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</si>
  <si>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</si>
  <si>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</si>
  <si>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</si>
  <si>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</si>
  <si>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</si>
  <si>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</si>
  <si>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</si>
  <si>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</si>
  <si>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</si>
  <si>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</si>
  <si>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</si>
  <si>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</si>
  <si>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</si>
  <si>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</si>
  <si>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</si>
  <si>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</si>
  <si>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</si>
  <si>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</si>
  <si>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</si>
  <si>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</si>
  <si>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</si>
  <si>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</si>
  <si>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</si>
  <si>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</si>
  <si>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</si>
  <si>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</si>
  <si>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</si>
  <si>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</si>
  <si>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</si>
  <si>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</si>
  <si>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</si>
  <si>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</si>
  <si>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</si>
  <si>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</si>
  <si>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</si>
  <si>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</si>
  <si>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</si>
  <si>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</si>
  <si>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</si>
  <si>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</si>
  <si>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</si>
  <si>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</si>
  <si>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</si>
  <si>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</si>
  <si>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</si>
  <si>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</si>
  <si>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</si>
  <si>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</si>
  <si>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</si>
  <si>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</si>
  <si>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</si>
  <si>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</si>
  <si>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</si>
  <si>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</si>
  <si>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</si>
  <si>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</si>
  <si>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</si>
  <si>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</si>
  <si>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</si>
  <si>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</si>
  <si>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</si>
  <si>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</si>
  <si>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</si>
  <si>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</si>
  <si>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</si>
  <si>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</si>
  <si>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</si>
  <si>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</si>
  <si>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</si>
  <si>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</si>
  <si>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</si>
  <si>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</si>
  <si>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</si>
  <si>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</si>
  <si>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</si>
  <si>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</si>
  <si>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</si>
  <si>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</si>
  <si>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</si>
  <si>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</si>
  <si>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</si>
  <si>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</si>
  <si>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</si>
  <si>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</si>
  <si>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</si>
  <si>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</si>
  <si>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</si>
  <si>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</si>
  <si>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</si>
  <si>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</si>
  <si>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</si>
  <si>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</si>
  <si>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</si>
  <si>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</si>
  <si>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</si>
  <si>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</si>
  <si>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</si>
  <si>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</si>
  <si>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</si>
  <si>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</si>
  <si>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</si>
  <si>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</si>
  <si>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</si>
  <si>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</si>
  <si>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</si>
  <si>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</si>
  <si>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</si>
  <si>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</si>
  <si>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</si>
  <si>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</si>
  <si>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</si>
  <si>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</si>
  <si>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</si>
  <si>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</si>
  <si>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</si>
  <si>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</si>
  <si>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</si>
  <si>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</si>
  <si>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</si>
  <si>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</si>
  <si>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</si>
  <si>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</si>
  <si>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</si>
  <si>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</si>
  <si>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</si>
  <si>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</si>
  <si>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</si>
  <si>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</si>
  <si>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</si>
  <si>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</si>
  <si>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</si>
  <si>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</si>
  <si>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</si>
  <si>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</si>
  <si>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</si>
  <si>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</si>
  <si>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</si>
  <si>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</si>
  <si>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</si>
  <si>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</si>
  <si>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</si>
  <si>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</si>
  <si>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</si>
  <si>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</si>
  <si>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</si>
  <si>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</si>
  <si>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</si>
  <si>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</si>
  <si>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</si>
  <si>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</si>
  <si>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</si>
  <si>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</si>
  <si>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</si>
  <si>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</si>
  <si>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</si>
  <si>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</si>
  <si>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</si>
  <si>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</si>
  <si>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</si>
  <si>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</si>
  <si>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</si>
  <si>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</si>
  <si>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</si>
  <si>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</si>
  <si>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</si>
  <si>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</si>
  <si>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</si>
  <si>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</si>
  <si>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</si>
  <si>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</si>
  <si>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</si>
  <si>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</si>
  <si>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</si>
  <si>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</si>
  <si>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</si>
  <si>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</si>
  <si>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</si>
  <si>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</si>
  <si>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</si>
  <si>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</si>
  <si>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</si>
  <si>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</si>
  <si>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</si>
  <si>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</si>
  <si>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</si>
  <si>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</si>
  <si>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</si>
  <si>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</si>
  <si>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</si>
  <si>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</si>
  <si>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</si>
  <si>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</si>
  <si>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</si>
  <si>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</si>
  <si>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</si>
  <si>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</si>
  <si>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</si>
  <si>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</si>
  <si>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</si>
  <si>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</si>
  <si>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</si>
  <si>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</si>
  <si>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</si>
  <si>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</si>
  <si>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</si>
  <si>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</si>
  <si>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</si>
  <si>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</si>
  <si>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</si>
  <si>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</si>
  <si>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</si>
  <si>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</si>
  <si>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</si>
  <si>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</si>
  <si>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</si>
  <si>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</si>
  <si>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</si>
  <si>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</si>
  <si>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</si>
  <si>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</si>
  <si>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</si>
  <si>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</si>
  <si>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</si>
  <si>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</si>
  <si>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</si>
  <si>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</si>
  <si>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</si>
  <si>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</si>
  <si>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</si>
  <si>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</si>
  <si>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</si>
  <si>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</si>
  <si>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</si>
  <si>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</si>
  <si>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</si>
  <si>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</si>
  <si>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</si>
  <si>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</si>
  <si>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</si>
  <si>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</si>
  <si>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</si>
  <si>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</si>
  <si>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</si>
  <si>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</si>
  <si>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</si>
  <si>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</si>
  <si>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</si>
  <si>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</si>
  <si>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</si>
  <si>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</si>
  <si>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</si>
  <si>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</si>
  <si>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</si>
  <si>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</si>
  <si>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</si>
  <si>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</si>
  <si>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</si>
  <si>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</si>
  <si>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</si>
  <si>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</si>
  <si>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</si>
  <si>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</si>
  <si>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</si>
  <si>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</si>
  <si>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</si>
  <si>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</si>
  <si>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</si>
  <si>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</si>
  <si>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</si>
  <si>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</si>
  <si>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</si>
  <si>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</si>
  <si>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</si>
  <si>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</si>
  <si>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</si>
  <si>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</si>
  <si>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</si>
  <si>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</si>
  <si>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</si>
  <si>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</si>
  <si>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</si>
  <si>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</si>
  <si>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</si>
  <si>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</si>
  <si>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</si>
  <si>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</si>
  <si>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</si>
  <si>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</si>
  <si>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</si>
  <si>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</si>
  <si>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</si>
  <si>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</si>
  <si>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</si>
  <si>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</si>
  <si>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</si>
  <si>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</si>
  <si>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</si>
  <si>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</si>
  <si>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</si>
  <si>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</si>
  <si>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</si>
  <si>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</si>
  <si>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</si>
  <si>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</si>
  <si>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</si>
  <si>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</si>
  <si>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</si>
  <si>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</si>
  <si>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</si>
  <si>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</si>
  <si>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</si>
  <si>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</si>
  <si>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</si>
  <si>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</si>
  <si>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</si>
  <si>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</si>
  <si>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</si>
  <si>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</si>
  <si>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</si>
  <si>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</si>
  <si>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</si>
  <si>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</si>
  <si>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</si>
  <si>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</si>
  <si>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</si>
  <si>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</si>
  <si>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</si>
  <si>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</si>
  <si>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</si>
  <si>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</si>
  <si>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</si>
  <si>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</si>
  <si>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</si>
  <si>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</si>
  <si>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</si>
  <si>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</si>
  <si>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</si>
  <si>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</si>
  <si>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</si>
  <si>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</si>
  <si>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</si>
  <si>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</si>
  <si>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</si>
  <si>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</si>
  <si>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</si>
  <si>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</si>
  <si>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</si>
  <si>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</si>
  <si>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</si>
  <si>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</si>
  <si>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</si>
  <si>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</si>
  <si>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</si>
  <si>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</si>
  <si>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</si>
  <si>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</si>
  <si>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</si>
  <si>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</si>
  <si>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</si>
  <si>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</si>
  <si>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</si>
  <si>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</si>
  <si>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</si>
  <si>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</si>
  <si>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</si>
  <si>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</si>
  <si>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</si>
  <si>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</si>
  <si>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</si>
  <si>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</si>
  <si>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</si>
  <si>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</si>
  <si>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</si>
  <si>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</si>
  <si>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</si>
  <si>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</si>
  <si>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</si>
  <si>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</si>
  <si>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</si>
  <si>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</si>
  <si>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</si>
  <si>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</si>
  <si>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</si>
  <si>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</si>
  <si>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</si>
  <si>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</si>
  <si>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</si>
  <si>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</si>
  <si>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</si>
  <si>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</si>
  <si>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</si>
  <si>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</si>
  <si>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</si>
  <si>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</si>
  <si>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</si>
  <si>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</si>
  <si>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</si>
  <si>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</si>
  <si>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</si>
  <si>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</si>
  <si>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</si>
  <si>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</si>
  <si>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</si>
  <si>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</si>
  <si>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</si>
  <si>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</si>
  <si>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</si>
  <si>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</si>
  <si>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</si>
  <si>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</si>
  <si>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</si>
  <si>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</si>
  <si>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</si>
  <si>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</si>
  <si>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</si>
  <si>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</si>
  <si>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</si>
  <si>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</si>
  <si>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</si>
  <si>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</si>
  <si>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</si>
  <si>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</si>
  <si>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</si>
  <si>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</si>
  <si>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</si>
  <si>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</si>
  <si>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</si>
  <si>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</si>
  <si>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</si>
  <si>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</si>
  <si>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</si>
  <si>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</si>
  <si>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</si>
  <si>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</si>
  <si>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</si>
  <si>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</si>
  <si>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</si>
  <si>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</si>
  <si>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</si>
  <si>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</si>
  <si>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</si>
  <si>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</si>
  <si>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</si>
  <si>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</si>
  <si>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</si>
  <si>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</si>
  <si>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</si>
  <si>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</si>
  <si>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</si>
  <si>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</si>
  <si>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</si>
  <si>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</si>
  <si>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</si>
  <si>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</si>
  <si>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</si>
  <si>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</si>
  <si>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</si>
  <si>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</si>
  <si>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</si>
  <si>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</si>
  <si>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</si>
  <si>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</si>
  <si>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</si>
  <si>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</si>
  <si>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</si>
  <si>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</si>
  <si>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</si>
  <si>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</si>
  <si>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</si>
  <si>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</si>
  <si>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</si>
  <si>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</si>
  <si>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</si>
  <si>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</si>
  <si>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</si>
  <si>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</si>
  <si>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</si>
  <si>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</si>
  <si>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</si>
  <si>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</si>
  <si>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</si>
  <si>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</si>
  <si>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</si>
  <si>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</si>
  <si>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</si>
  <si>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</si>
  <si>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</si>
  <si>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</si>
  <si>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</si>
  <si>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</si>
  <si>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</si>
  <si>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</si>
  <si>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</si>
  <si>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</si>
  <si>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</si>
  <si>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</si>
  <si>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</si>
  <si>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</si>
  <si>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</si>
  <si>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</si>
  <si>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</si>
  <si>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</si>
  <si>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</si>
  <si>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</si>
  <si>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</si>
  <si>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</si>
  <si>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</si>
  <si>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</si>
  <si>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</si>
  <si>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</si>
  <si>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</si>
  <si>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</si>
  <si>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</si>
  <si>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</si>
  <si>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</si>
  <si>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</si>
  <si>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</si>
  <si>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</si>
  <si>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</si>
  <si>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</si>
  <si>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</si>
  <si>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</si>
  <si>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</si>
  <si>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</si>
  <si>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</si>
  <si>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</si>
  <si>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</si>
  <si>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</si>
  <si>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</si>
  <si>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</si>
  <si>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</si>
  <si>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</si>
  <si>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</si>
  <si>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</si>
  <si>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</si>
  <si>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</si>
  <si>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</si>
  <si>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</si>
  <si>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</si>
  <si>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</si>
  <si>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</si>
  <si>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</si>
  <si>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</si>
  <si>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</si>
  <si>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</si>
  <si>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</si>
  <si>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</si>
  <si>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</si>
  <si>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</si>
  <si>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</si>
  <si>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</si>
  <si>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</si>
  <si>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</si>
  <si>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</si>
  <si>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</si>
  <si>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</si>
  <si>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</si>
  <si>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</si>
  <si>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</si>
  <si>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</si>
  <si>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</si>
  <si>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</si>
  <si>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</si>
  <si>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</si>
  <si>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</si>
  <si>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</si>
  <si>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</si>
  <si>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</si>
  <si>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</si>
  <si>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</si>
  <si>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</si>
  <si>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</si>
  <si>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</si>
  <si>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</si>
  <si>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</si>
  <si>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</si>
  <si>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</si>
  <si>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</si>
  <si>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</si>
  <si>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</si>
  <si>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</si>
  <si>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</si>
  <si>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</si>
  <si>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</si>
  <si>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</si>
  <si>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</si>
  <si>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</si>
  <si>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</si>
  <si>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</si>
  <si>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</si>
  <si>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</si>
  <si>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</si>
  <si>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</si>
  <si>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</si>
  <si>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</si>
  <si>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</si>
  <si>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</si>
  <si>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</si>
  <si>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</si>
  <si>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</si>
  <si>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</si>
  <si>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</si>
  <si>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</si>
  <si>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</si>
  <si>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</si>
  <si>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</si>
  <si>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</si>
  <si>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</si>
  <si>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</si>
  <si>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</si>
  <si>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</si>
  <si>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</si>
  <si>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</si>
  <si>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</si>
  <si>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</si>
  <si>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</si>
  <si>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</si>
  <si>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</si>
  <si>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</si>
  <si>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</si>
  <si>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</si>
  <si>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</si>
  <si>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</si>
  <si>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</si>
  <si>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</si>
  <si>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</si>
  <si>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</si>
  <si>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</si>
  <si>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</si>
  <si>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</si>
  <si>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</si>
  <si>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</si>
  <si>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</si>
  <si>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</si>
  <si>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</si>
  <si>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</si>
  <si>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</si>
  <si>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</si>
  <si>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</si>
  <si>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</si>
  <si>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</si>
  <si>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</si>
  <si>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</si>
  <si>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</si>
  <si>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</si>
  <si>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</si>
  <si>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</si>
  <si>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</si>
  <si>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</si>
  <si>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</si>
  <si>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</si>
  <si>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</si>
  <si>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</si>
  <si>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</si>
  <si>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</si>
  <si>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</si>
  <si>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</si>
  <si>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</si>
  <si>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</si>
  <si>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</si>
  <si>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</si>
  <si>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</si>
  <si>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</si>
  <si>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</si>
  <si>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</si>
  <si>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</si>
  <si>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</si>
  <si>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</si>
  <si>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</si>
  <si>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</si>
  <si>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</si>
  <si>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</si>
  <si>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</si>
  <si>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</si>
  <si>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</si>
  <si>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</si>
  <si>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</si>
  <si>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</si>
  <si>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</si>
  <si>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</si>
  <si>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</si>
  <si>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</si>
  <si>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</si>
  <si>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</si>
  <si>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</si>
  <si>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</si>
  <si>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</si>
  <si>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</si>
  <si>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</si>
  <si>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</si>
  <si>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</si>
  <si>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</si>
  <si>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</si>
  <si>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</si>
  <si>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</si>
  <si>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</si>
  <si>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</si>
  <si>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</si>
  <si>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</si>
  <si>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</si>
  <si>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</si>
  <si>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</si>
  <si>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</si>
  <si>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</si>
  <si>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</si>
  <si>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</si>
  <si>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</si>
  <si>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</si>
  <si>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</si>
  <si>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</si>
  <si>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</si>
  <si>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</si>
  <si>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</si>
  <si>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</si>
  <si>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</si>
  <si>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</si>
  <si>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</si>
  <si>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</si>
  <si>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</si>
  <si>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</si>
  <si>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</si>
  <si>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</si>
  <si>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</si>
  <si>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</si>
  <si>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</si>
  <si>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</si>
  <si>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</si>
  <si>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</si>
  <si>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</si>
  <si>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</si>
  <si>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</si>
  <si>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</si>
  <si>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</si>
  <si>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</si>
  <si>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</si>
  <si>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</si>
  <si>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</si>
  <si>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</si>
  <si>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</si>
  <si>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</si>
  <si>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</si>
  <si>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</si>
  <si>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</si>
  <si>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</si>
  <si>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</si>
  <si>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</si>
  <si>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</si>
  <si>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</si>
  <si>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</si>
  <si>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</si>
  <si>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</si>
  <si>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</si>
  <si>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</si>
  <si>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</si>
  <si>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</si>
  <si>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</si>
  <si>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</si>
  <si>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</si>
  <si>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</si>
  <si>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</si>
  <si>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</si>
  <si>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</si>
  <si>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</si>
  <si>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</si>
  <si>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</si>
  <si>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</si>
  <si>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</si>
  <si>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</si>
  <si>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</si>
  <si>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</si>
  <si>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</si>
  <si>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</si>
  <si>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</si>
  <si>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</si>
  <si>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</si>
  <si>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</si>
  <si>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</si>
  <si>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</si>
  <si>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</si>
  <si>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</si>
  <si>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</si>
  <si>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</si>
  <si>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</si>
  <si>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</si>
  <si>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</si>
  <si>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</si>
  <si>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</si>
  <si>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</si>
  <si>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</si>
  <si>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</si>
  <si>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</si>
  <si>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</si>
  <si>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</si>
  <si>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</si>
  <si>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</si>
  <si>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</si>
  <si>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</si>
  <si>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</si>
  <si>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</si>
  <si>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</si>
  <si>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</si>
  <si>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</si>
  <si>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</si>
  <si>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</si>
  <si>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</si>
  <si>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</si>
  <si>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</si>
  <si>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</si>
  <si>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</si>
  <si>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</si>
  <si>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</si>
  <si>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</si>
  <si>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</si>
  <si>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</si>
  <si>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</si>
  <si>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</si>
  <si>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</si>
  <si>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</si>
  <si>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</si>
  <si>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</si>
  <si>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</si>
  <si>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</si>
  <si>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</si>
  <si>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</si>
  <si>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</si>
  <si>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</si>
  <si>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</si>
  <si>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</si>
  <si>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</si>
  <si>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</si>
  <si>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</si>
  <si>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</si>
  <si>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</si>
  <si>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</si>
  <si>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</si>
  <si>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</si>
  <si>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</si>
  <si>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</si>
  <si>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</si>
  <si>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</si>
  <si>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</si>
  <si>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</si>
  <si>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</si>
  <si>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</si>
  <si>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</si>
  <si>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</si>
  <si>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</si>
  <si>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</si>
  <si>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</si>
  <si>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</si>
  <si>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</si>
  <si>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</si>
  <si>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</si>
  <si>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</si>
  <si>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</si>
  <si>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</si>
  <si>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</si>
  <si>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</si>
  <si>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</si>
  <si>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</si>
  <si>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</si>
  <si>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</si>
  <si>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</si>
  <si>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</si>
  <si>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</si>
  <si>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</si>
  <si>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</si>
  <si>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</si>
  <si>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</si>
  <si>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</si>
  <si>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</si>
  <si>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</si>
  <si>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</si>
  <si>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</si>
  <si>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</si>
  <si>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</si>
  <si>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</si>
  <si>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</si>
  <si>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</si>
  <si>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</si>
  <si>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</si>
  <si>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</si>
  <si>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</si>
  <si>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</si>
  <si>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</si>
  <si>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</si>
  <si>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</si>
  <si>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</si>
  <si>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</si>
  <si>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</si>
  <si>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</si>
  <si>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</si>
  <si>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</si>
  <si>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</si>
  <si>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</si>
  <si>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</si>
  <si>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</si>
  <si>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</si>
  <si>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</si>
  <si>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</si>
  <si>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</si>
  <si>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</si>
  <si>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</si>
  <si>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</si>
  <si>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</si>
  <si>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</si>
  <si>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</si>
  <si>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</si>
  <si>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</si>
  <si>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</si>
  <si>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</si>
  <si>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</si>
  <si>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</si>
  <si>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</si>
  <si>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</si>
  <si>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</si>
  <si>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</si>
  <si>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</si>
  <si>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</si>
  <si>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</si>
  <si>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</si>
  <si>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</si>
  <si>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</si>
  <si>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</si>
  <si>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</si>
  <si>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</si>
  <si>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</si>
  <si>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</si>
  <si>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</si>
  <si>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</si>
  <si>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</si>
  <si>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</si>
  <si>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</si>
  <si>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</si>
  <si>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</si>
  <si>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</si>
  <si>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</si>
  <si>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</si>
  <si>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</si>
  <si>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</si>
  <si>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</si>
  <si>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</si>
  <si>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</si>
  <si>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</si>
  <si>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</si>
  <si>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</si>
  <si>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</si>
  <si>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</si>
  <si>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</si>
  <si>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</si>
  <si>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</si>
  <si>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</si>
  <si>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</si>
  <si>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</si>
  <si>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</si>
  <si>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</si>
  <si>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</si>
  <si>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</si>
  <si>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</si>
  <si>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</si>
  <si>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</si>
  <si>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</si>
  <si>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</si>
  <si>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</si>
  <si>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</si>
  <si>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</si>
  <si>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</si>
  <si>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</si>
  <si>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</si>
  <si>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</si>
  <si>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</si>
  <si>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</si>
  <si>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</si>
  <si>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</si>
  <si>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</si>
  <si>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</si>
  <si>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</si>
  <si>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</si>
  <si>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</si>
  <si>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</si>
  <si>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</si>
  <si>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</si>
  <si>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</si>
  <si>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</si>
  <si>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</si>
  <si>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</si>
  <si>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</si>
  <si>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</si>
  <si>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</si>
  <si>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</si>
  <si>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</si>
  <si>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</si>
  <si>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</si>
  <si>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</si>
  <si>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</si>
  <si>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</si>
  <si>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</si>
  <si>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</si>
  <si>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</si>
  <si>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</si>
  <si>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</si>
  <si>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</si>
  <si>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</si>
  <si>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</si>
  <si>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</si>
  <si>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</si>
  <si>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</si>
  <si>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</si>
  <si>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</si>
  <si>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</si>
  <si>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</si>
  <si>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</si>
  <si>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</si>
  <si>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</si>
  <si>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</si>
  <si>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</si>
  <si>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</si>
  <si>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</si>
  <si>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</si>
  <si>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</si>
  <si>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</si>
  <si>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</si>
  <si>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</si>
  <si>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</si>
  <si>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</si>
  <si>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</si>
  <si>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</si>
  <si>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</si>
  <si>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</si>
  <si>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</si>
  <si>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</si>
  <si>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</si>
  <si>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</si>
  <si>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</si>
  <si>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</si>
  <si>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</si>
  <si>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</si>
  <si>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</si>
  <si>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</si>
  <si>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</si>
  <si>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</si>
  <si>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</si>
  <si>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</si>
  <si>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</si>
  <si>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</si>
  <si>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</si>
  <si>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</si>
  <si>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</si>
  <si>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</si>
  <si>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</si>
  <si>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</si>
  <si>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</si>
  <si>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</si>
  <si>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</si>
  <si>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</si>
  <si>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</si>
  <si>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</si>
  <si>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</si>
  <si>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</si>
  <si>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</si>
  <si>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</si>
  <si>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</si>
  <si>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</si>
  <si>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</si>
  <si>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</si>
  <si>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</si>
  <si>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</si>
  <si>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</si>
  <si>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</si>
  <si>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</si>
  <si>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</si>
  <si>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</si>
  <si>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</si>
  <si>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</si>
  <si>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</si>
  <si>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</si>
  <si>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</si>
  <si>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</si>
  <si>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</si>
  <si>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</si>
  <si>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</si>
  <si>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</si>
  <si>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</si>
  <si>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</si>
  <si>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</si>
  <si>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</si>
  <si>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</si>
  <si>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</si>
  <si>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</si>
  <si>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</si>
  <si>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</si>
  <si>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</si>
  <si>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</si>
  <si>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</si>
  <si>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</si>
  <si>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</si>
  <si>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</si>
  <si>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</si>
  <si>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</si>
  <si>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</si>
  <si>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</si>
  <si>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</si>
  <si>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</si>
  <si>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</si>
  <si>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</si>
  <si>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</si>
  <si>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</si>
  <si>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</si>
  <si>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</si>
  <si>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</si>
  <si>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</si>
  <si>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</si>
  <si>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</si>
  <si>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</si>
  <si>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</si>
  <si>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</si>
  <si>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</si>
  <si>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</si>
  <si>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</si>
  <si>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</si>
  <si>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</si>
  <si>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</si>
  <si>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</si>
  <si>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</si>
  <si>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</si>
  <si>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</si>
  <si>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</si>
  <si>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</si>
  <si>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</si>
  <si>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</si>
  <si>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</si>
  <si>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</si>
  <si>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</si>
  <si>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</si>
  <si>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</si>
  <si>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</si>
  <si>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</si>
  <si>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</si>
  <si>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</si>
  <si>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</si>
  <si>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</si>
  <si>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</si>
  <si>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</si>
  <si>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</si>
  <si>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</si>
  <si>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</si>
  <si>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</si>
  <si>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</si>
  <si>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</si>
  <si>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</si>
  <si>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</si>
  <si>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</si>
  <si>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</si>
  <si>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</si>
  <si>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</si>
  <si>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</si>
  <si>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</si>
  <si>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</si>
  <si>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</si>
  <si>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</si>
  <si>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</si>
  <si>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</si>
  <si>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</si>
  <si>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</si>
  <si>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</si>
  <si>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</si>
  <si>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</si>
  <si>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</si>
  <si>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</si>
  <si>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</si>
  <si>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</si>
  <si>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</si>
  <si>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</si>
  <si>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</si>
  <si>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</si>
  <si>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</si>
  <si>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</si>
  <si>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</si>
  <si>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</si>
  <si>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</si>
  <si>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</si>
  <si>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</si>
  <si>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</si>
  <si>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</si>
  <si>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</si>
  <si>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</si>
  <si>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</si>
  <si>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</si>
  <si>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</si>
  <si>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</si>
  <si>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</si>
  <si>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</si>
  <si>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</si>
  <si>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</si>
  <si>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</si>
  <si>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</si>
  <si>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</si>
  <si>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</si>
  <si>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</si>
  <si>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</si>
  <si>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</si>
  <si>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</si>
  <si>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</si>
  <si>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</si>
  <si>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</si>
  <si>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</si>
  <si>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</si>
  <si>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</si>
  <si>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</si>
  <si>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</si>
  <si>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</si>
  <si>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</si>
  <si>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</si>
  <si>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</si>
  <si>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</si>
  <si>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</si>
  <si>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</si>
  <si>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</si>
  <si>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</si>
  <si>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</si>
  <si>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</si>
  <si>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</si>
  <si>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</si>
  <si>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</si>
  <si>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</si>
  <si>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</si>
  <si>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</si>
  <si>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</si>
  <si>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</si>
  <si>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</si>
  <si>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</si>
  <si>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</si>
  <si>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</si>
  <si>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</si>
  <si>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</si>
  <si>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</si>
  <si>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</si>
  <si>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</si>
  <si>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</si>
  <si>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</si>
  <si>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</si>
  <si>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</si>
  <si>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</si>
  <si>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</si>
  <si>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</si>
  <si>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</si>
  <si>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</si>
  <si>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</si>
  <si>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</si>
  <si>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</si>
  <si>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</si>
  <si>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</si>
  <si>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</si>
  <si>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</si>
  <si>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</si>
  <si>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</si>
  <si>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</si>
  <si>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</si>
  <si>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</si>
  <si>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</si>
  <si>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</si>
  <si>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</si>
  <si>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</si>
  <si>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</si>
  <si>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</si>
  <si>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</si>
  <si>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</si>
  <si>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</si>
  <si>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</si>
  <si>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</si>
  <si>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</si>
  <si>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</si>
  <si>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</si>
  <si>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</si>
  <si>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</si>
  <si>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</si>
  <si>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</si>
  <si>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</si>
  <si>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</si>
  <si>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</si>
  <si>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</si>
  <si>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</si>
  <si>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</si>
  <si>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</si>
  <si>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</si>
  <si>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</si>
  <si>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</si>
  <si>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</si>
  <si>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</si>
  <si>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</si>
  <si>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</si>
  <si>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</si>
  <si>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</si>
  <si>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</si>
  <si>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</si>
  <si>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</si>
  <si>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</si>
  <si>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</si>
  <si>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</si>
  <si>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</si>
  <si>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</si>
  <si>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</si>
  <si>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</si>
  <si>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</si>
  <si>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</si>
  <si>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</si>
  <si>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</si>
  <si>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</si>
  <si>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</si>
  <si>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</si>
  <si>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</si>
  <si>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</si>
  <si>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</si>
  <si>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</si>
  <si>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</si>
  <si>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</si>
  <si>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</si>
  <si>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</si>
  <si>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</si>
  <si>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</si>
  <si>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</si>
  <si>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</si>
  <si>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</si>
  <si>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</si>
  <si>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</si>
  <si>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</si>
  <si>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</si>
  <si>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</si>
  <si>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</si>
  <si>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</si>
  <si>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</si>
  <si>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</si>
  <si>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</si>
  <si>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</si>
  <si>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</si>
  <si>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</si>
  <si>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</si>
  <si>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</si>
  <si>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</si>
  <si>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</si>
  <si>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</si>
  <si>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</si>
  <si>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</si>
  <si>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</si>
  <si>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</si>
  <si>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</si>
  <si>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</si>
  <si>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</si>
  <si>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</si>
  <si>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</si>
  <si>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</si>
  <si>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</si>
  <si>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</si>
  <si>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</si>
  <si>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</si>
  <si>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</si>
  <si>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</si>
  <si>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</si>
  <si>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</si>
  <si>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</si>
  <si>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</si>
  <si>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</si>
  <si>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</si>
  <si>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</si>
  <si>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</si>
  <si>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</si>
  <si>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</si>
  <si>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</si>
  <si>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</si>
  <si>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</si>
  <si>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</si>
  <si>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</si>
  <si>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</si>
  <si>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</si>
  <si>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</si>
  <si>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</si>
  <si>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</si>
  <si>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</si>
  <si>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</si>
  <si>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</si>
  <si>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</si>
  <si>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</si>
  <si>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</si>
  <si>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</si>
  <si>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</si>
  <si>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</si>
  <si>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</si>
  <si>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</si>
  <si>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</si>
  <si>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</si>
  <si>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</si>
  <si>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</si>
  <si>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</si>
  <si>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</si>
  <si>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</si>
  <si>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</si>
  <si>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</si>
  <si>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</si>
  <si>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</si>
  <si>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</si>
  <si>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</si>
  <si>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</si>
  <si>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</si>
  <si>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</si>
  <si>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</si>
  <si>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</si>
  <si>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</si>
  <si>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</si>
  <si>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</si>
  <si>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</si>
  <si>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</si>
  <si>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</si>
  <si>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</si>
  <si>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</si>
  <si>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</si>
  <si>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</si>
  <si>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</si>
  <si>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</si>
  <si>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</si>
  <si>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</si>
  <si>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</si>
  <si>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</si>
  <si>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</si>
  <si>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</si>
  <si>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</si>
  <si>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</si>
  <si>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</si>
  <si>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</si>
  <si>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</si>
  <si>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</si>
  <si>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</si>
  <si>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</si>
  <si>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</si>
  <si>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</si>
  <si>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</si>
  <si>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</si>
  <si>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</si>
  <si>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</si>
  <si>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</si>
  <si>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</si>
  <si>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</si>
  <si>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</si>
  <si>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</si>
  <si>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</si>
  <si>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</si>
  <si>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</si>
  <si>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</si>
  <si>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</si>
  <si>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</si>
  <si>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</si>
  <si>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</si>
  <si>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</si>
  <si>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</si>
  <si>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</si>
  <si>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</si>
  <si>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</si>
  <si>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</si>
  <si>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</si>
  <si>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</si>
  <si>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</si>
  <si>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</si>
  <si>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</si>
  <si>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</si>
  <si>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</si>
  <si>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</si>
  <si>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</si>
  <si>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</si>
  <si>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</si>
  <si>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</si>
  <si>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</si>
  <si>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</si>
  <si>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</si>
  <si>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</si>
  <si>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</si>
  <si>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</si>
  <si>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</si>
  <si>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</si>
  <si>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</si>
  <si>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</si>
  <si>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</si>
  <si>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</si>
  <si>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</si>
  <si>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</si>
  <si>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</si>
  <si>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</si>
  <si>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</si>
  <si>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</si>
  <si>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</si>
  <si>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</si>
  <si>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</si>
  <si>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</si>
  <si>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</si>
  <si>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</si>
  <si>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</si>
  <si>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</si>
  <si>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</si>
  <si>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</si>
  <si>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</si>
  <si>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</si>
  <si>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</si>
  <si>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</si>
  <si>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</si>
  <si>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</si>
  <si>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</si>
  <si>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</si>
  <si>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</si>
  <si>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</si>
  <si>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</si>
  <si>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</si>
  <si>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</si>
  <si>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</si>
  <si>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</si>
  <si>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</si>
  <si>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</si>
  <si>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</si>
  <si>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</si>
  <si>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</si>
  <si>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</si>
  <si>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</si>
  <si>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</si>
  <si>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</si>
  <si>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</si>
  <si>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</si>
  <si>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</si>
  <si>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</si>
  <si>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</si>
  <si>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</si>
  <si>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</si>
  <si>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</si>
  <si>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</si>
  <si>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</si>
  <si>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</si>
  <si>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</si>
  <si>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</si>
  <si>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</si>
  <si>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</si>
  <si>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</si>
  <si>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</si>
  <si>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</si>
  <si>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</si>
  <si>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</si>
  <si>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</si>
  <si>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</si>
  <si>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</si>
  <si>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</si>
  <si>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</si>
  <si>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</si>
  <si>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</si>
  <si>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</si>
  <si>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</si>
  <si>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</si>
  <si>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</si>
  <si>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</si>
  <si>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</si>
  <si>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</si>
  <si>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</si>
  <si>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</si>
  <si>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</si>
  <si>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</si>
  <si>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</si>
  <si>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</si>
  <si>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</si>
  <si>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</si>
  <si>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</si>
  <si>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</si>
  <si>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</si>
  <si>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</si>
  <si>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</si>
  <si>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</si>
  <si>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</si>
  <si>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</si>
  <si>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</si>
  <si>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</si>
  <si>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</si>
  <si>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</si>
  <si>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</si>
  <si>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</si>
  <si>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</si>
  <si>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</si>
  <si>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</si>
  <si>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</si>
  <si>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</si>
  <si>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</si>
  <si>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</si>
  <si>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</si>
  <si>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</si>
  <si>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</si>
  <si>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</si>
  <si>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</si>
  <si>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</si>
  <si>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</si>
  <si>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</si>
  <si>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</si>
  <si>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</si>
  <si>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</si>
  <si>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</si>
  <si>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</si>
  <si>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</si>
  <si>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</si>
  <si>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</si>
  <si>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</si>
  <si>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</si>
  <si>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</si>
  <si>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</si>
  <si>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</si>
  <si>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</si>
  <si>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</si>
  <si>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</si>
  <si>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</si>
  <si>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</si>
  <si>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</si>
  <si>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</si>
  <si>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</si>
  <si>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</si>
  <si>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</si>
  <si>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</si>
  <si>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</si>
  <si>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</si>
  <si>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</si>
  <si>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</si>
  <si>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</si>
  <si>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</si>
  <si>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</si>
  <si>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</si>
  <si>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</si>
  <si>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</si>
  <si>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</si>
  <si>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</si>
  <si>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</si>
  <si>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</si>
  <si>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</si>
  <si>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</si>
  <si>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</si>
  <si>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</si>
  <si>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</si>
  <si>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</si>
  <si>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</si>
  <si>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</si>
  <si>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</si>
  <si>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</si>
  <si>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</si>
  <si>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</si>
  <si>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</si>
  <si>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</si>
  <si>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</si>
  <si>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</si>
  <si>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</si>
  <si>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</si>
  <si>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</si>
  <si>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</si>
  <si>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</si>
  <si>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</si>
  <si>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</si>
  <si>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</si>
  <si>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</si>
  <si>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</si>
  <si>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</si>
  <si>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</si>
  <si>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</si>
  <si>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</si>
  <si>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</si>
  <si>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</si>
  <si>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</si>
  <si>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</si>
  <si>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</si>
  <si>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</si>
  <si>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</si>
  <si>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</si>
  <si>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</si>
  <si>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</si>
  <si>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</si>
  <si>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</si>
  <si>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</si>
  <si>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</si>
  <si>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</si>
  <si>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</si>
  <si>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</si>
  <si>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</si>
  <si>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</si>
  <si>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</si>
  <si>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</si>
  <si>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</si>
  <si>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</si>
  <si>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</si>
  <si>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</si>
  <si>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</si>
  <si>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</si>
  <si>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</si>
  <si>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</si>
  <si>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</si>
  <si>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</si>
  <si>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</si>
  <si>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</si>
  <si>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</si>
  <si>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</si>
  <si>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</si>
  <si>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</si>
  <si>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</si>
  <si>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</si>
  <si>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</si>
  <si>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</si>
  <si>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</si>
  <si>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</si>
  <si>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</si>
  <si>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</si>
  <si>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</si>
  <si>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</si>
  <si>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</si>
  <si>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</si>
  <si>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</si>
  <si>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</si>
  <si>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</si>
  <si>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</si>
  <si>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</si>
  <si>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</si>
  <si>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</si>
  <si>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</si>
  <si>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</si>
  <si>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</si>
  <si>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</si>
  <si>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</si>
  <si>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</si>
  <si>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</si>
  <si>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</si>
  <si>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</si>
  <si>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</si>
  <si>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</si>
  <si>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</si>
  <si>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</si>
  <si>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</si>
  <si>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</si>
  <si>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</si>
  <si>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</si>
  <si>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</si>
  <si>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</si>
  <si>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</si>
  <si>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</si>
  <si>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</si>
  <si>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</si>
  <si>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</si>
  <si>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</si>
  <si>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</si>
  <si>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</si>
  <si>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</si>
  <si>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</si>
  <si>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</si>
  <si>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</si>
  <si>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</si>
  <si>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</si>
  <si>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</si>
  <si>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</si>
  <si>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</si>
  <si>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</si>
  <si>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</si>
  <si>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</si>
  <si>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</si>
  <si>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</si>
  <si>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</si>
  <si>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</si>
  <si>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</si>
  <si>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</si>
  <si>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</si>
  <si>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</si>
  <si>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</si>
  <si>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</si>
  <si>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</si>
  <si>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</si>
  <si>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</si>
  <si>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</si>
  <si>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</si>
  <si>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</si>
  <si>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</si>
  <si>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</si>
  <si>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</si>
  <si>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</si>
  <si>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</si>
  <si>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</si>
  <si>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</si>
  <si>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</si>
  <si>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</si>
  <si>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</si>
  <si>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</si>
  <si>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</si>
  <si>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</si>
  <si>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</si>
  <si>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</si>
  <si>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</si>
  <si>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</si>
  <si>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</si>
  <si>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</si>
  <si>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</si>
  <si>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</si>
  <si>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</si>
  <si>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</si>
  <si>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</si>
  <si>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</si>
  <si>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</si>
  <si>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</si>
  <si>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</si>
  <si>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</si>
  <si>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</si>
  <si>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</si>
  <si>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</si>
  <si>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</si>
  <si>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</si>
  <si>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</si>
  <si>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</si>
  <si>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</si>
  <si>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</si>
  <si>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</si>
  <si>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</si>
  <si>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</si>
  <si>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</si>
  <si>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</si>
  <si>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</si>
  <si>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</si>
  <si>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</si>
  <si>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</si>
  <si>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</si>
  <si>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</si>
  <si>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</si>
  <si>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</si>
  <si>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</si>
  <si>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</si>
  <si>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</si>
  <si>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</si>
  <si>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</si>
  <si>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</si>
  <si>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</si>
  <si>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</si>
  <si>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</si>
  <si>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</si>
  <si>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</si>
  <si>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</si>
  <si>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</si>
  <si>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</si>
  <si>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</si>
  <si>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</si>
  <si>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</si>
  <si>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</si>
  <si>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</si>
  <si>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</si>
  <si>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</si>
  <si>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</si>
  <si>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</si>
  <si>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</si>
  <si>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</si>
  <si>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</si>
  <si>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</si>
  <si>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</si>
  <si>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</si>
  <si>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</si>
  <si>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</si>
  <si>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</si>
  <si>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</si>
  <si>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</si>
  <si>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</si>
  <si>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</si>
  <si>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</si>
  <si>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</si>
  <si>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</si>
  <si>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</si>
  <si>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</si>
  <si>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</si>
  <si>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</si>
  <si>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</si>
  <si>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</si>
  <si>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</si>
  <si>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</si>
  <si>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</si>
  <si>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</si>
  <si>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</si>
  <si>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</si>
  <si>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</si>
  <si>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</si>
  <si>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</si>
  <si>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</si>
  <si>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</si>
  <si>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</si>
  <si>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</si>
  <si>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</si>
  <si>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</si>
  <si>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</si>
  <si>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</si>
  <si>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</si>
  <si>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</si>
  <si>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</si>
  <si>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</si>
  <si>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</si>
  <si>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</si>
  <si>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</si>
  <si>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</si>
  <si>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</si>
  <si>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</si>
  <si>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</si>
  <si>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</si>
  <si>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</si>
  <si>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</si>
  <si>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</si>
  <si>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</si>
  <si>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</si>
  <si>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</si>
  <si>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</si>
  <si>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</si>
  <si>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</si>
  <si>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</si>
  <si>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</si>
  <si>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</si>
  <si>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</si>
  <si>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</si>
  <si>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</si>
  <si>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</si>
  <si>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</si>
  <si>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</si>
  <si>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</si>
  <si>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</si>
  <si>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</si>
  <si>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</si>
  <si>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</si>
  <si>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</si>
  <si>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</si>
  <si>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</si>
  <si>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</si>
  <si>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</si>
  <si>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</si>
  <si>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</si>
  <si>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</si>
  <si>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</si>
  <si>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</si>
  <si>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</si>
  <si>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</si>
  <si>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</si>
  <si>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</si>
  <si>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</si>
  <si>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</si>
  <si>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</si>
  <si>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</si>
  <si>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</si>
  <si>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</si>
  <si>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</si>
  <si>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</si>
  <si>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</si>
  <si>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</si>
  <si>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</si>
  <si>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</si>
  <si>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</si>
  <si>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</si>
  <si>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</si>
  <si>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</si>
  <si>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</si>
  <si>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</si>
  <si>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</si>
  <si>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</si>
  <si>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</si>
  <si>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</si>
  <si>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</si>
  <si>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</si>
  <si>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</si>
  <si>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</si>
  <si>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</si>
  <si>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</si>
  <si>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</si>
  <si>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</si>
  <si>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</si>
  <si>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</si>
  <si>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</si>
  <si>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</si>
  <si>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</si>
  <si>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</si>
  <si>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</si>
  <si>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</si>
  <si>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</si>
  <si>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</si>
  <si>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</si>
  <si>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</si>
  <si>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</si>
  <si>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</si>
  <si>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</si>
  <si>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</si>
  <si>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</si>
  <si>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</si>
  <si>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</si>
  <si>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</si>
  <si>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</si>
  <si>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</si>
  <si>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</si>
  <si>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</si>
  <si>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</si>
  <si>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</si>
  <si>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</si>
  <si>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</si>
  <si>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</si>
  <si>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</si>
  <si>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</si>
  <si>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</si>
  <si>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</si>
  <si>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</si>
  <si>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</si>
  <si>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</si>
  <si>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</si>
  <si>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</si>
  <si>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</si>
  <si>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</si>
  <si>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</si>
  <si>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</si>
  <si>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</si>
  <si>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</si>
  <si>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</si>
  <si>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</si>
  <si>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</si>
  <si>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</si>
  <si>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</si>
  <si>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</si>
  <si>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</si>
  <si>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</si>
  <si>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</si>
  <si>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</si>
  <si>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</si>
  <si>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</si>
  <si>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</si>
  <si>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</si>
  <si>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</si>
  <si>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</si>
  <si>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</si>
  <si>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</si>
  <si>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</si>
  <si>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</si>
  <si>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</si>
  <si>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</si>
  <si>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</si>
  <si>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</si>
  <si>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</si>
  <si>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</si>
  <si>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</si>
  <si>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</si>
  <si>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</si>
  <si>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</si>
  <si>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</si>
  <si>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</si>
  <si>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</si>
  <si>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</si>
  <si>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</si>
  <si>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</si>
  <si>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</si>
  <si>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</si>
  <si>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</si>
  <si>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</si>
  <si>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</si>
  <si>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</si>
  <si>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</si>
  <si>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</si>
  <si>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</si>
  <si>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</si>
  <si>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</si>
  <si>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</si>
  <si>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</si>
  <si>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</si>
  <si>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</si>
  <si>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</si>
  <si>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</si>
  <si>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</si>
  <si>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</si>
  <si>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</si>
  <si>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</si>
  <si>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</si>
  <si>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</si>
  <si>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</si>
  <si>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</si>
  <si>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</si>
  <si>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</si>
  <si>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</si>
  <si>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</si>
  <si>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</si>
  <si>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</si>
  <si>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</si>
  <si>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</si>
  <si>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</si>
  <si>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</si>
  <si>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</si>
  <si>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</si>
  <si>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</si>
  <si>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</si>
  <si>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</si>
  <si>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</si>
  <si>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</si>
  <si>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</si>
  <si>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</si>
  <si>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</si>
  <si>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</si>
  <si>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</si>
  <si>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</si>
  <si>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</si>
  <si>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</si>
  <si>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</si>
  <si>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</si>
  <si>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</si>
  <si>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</si>
  <si>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</si>
  <si>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</si>
  <si>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</si>
  <si>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</si>
  <si>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</si>
  <si>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</si>
  <si>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</si>
  <si>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</si>
  <si>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</si>
  <si>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</si>
  <si>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</si>
  <si>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</si>
  <si>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</si>
  <si>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</si>
  <si>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</si>
  <si>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</si>
  <si>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</si>
  <si>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</si>
  <si>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</si>
  <si>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</si>
  <si>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</si>
  <si>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</si>
  <si>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</si>
  <si>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</si>
  <si>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</si>
  <si>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</si>
  <si>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</si>
  <si>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</si>
  <si>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</si>
  <si>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</si>
  <si>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</si>
  <si>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</si>
  <si>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</si>
  <si>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</si>
  <si>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</si>
  <si>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</si>
  <si>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</si>
  <si>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</si>
  <si>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</si>
  <si>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</si>
  <si>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</si>
  <si>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</si>
  <si>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</si>
  <si>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</si>
  <si>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</si>
  <si>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</si>
  <si>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</si>
  <si>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</si>
  <si>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</si>
  <si>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</si>
  <si>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</si>
  <si>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</si>
  <si>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</si>
  <si>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</si>
  <si>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</si>
  <si>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</si>
  <si>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</si>
  <si>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</si>
  <si>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</si>
  <si>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</si>
  <si>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</si>
  <si>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</si>
  <si>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</si>
  <si>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</si>
  <si>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</si>
  <si>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</si>
  <si>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</si>
  <si>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</si>
  <si>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</si>
  <si>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</si>
  <si>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</si>
  <si>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</si>
  <si>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</si>
  <si>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</si>
  <si>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</si>
  <si>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</si>
  <si>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</si>
  <si>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</si>
  <si>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</si>
  <si>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</si>
  <si>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</si>
  <si>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</si>
  <si>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</si>
  <si>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</si>
  <si>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</si>
  <si>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</si>
  <si>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</si>
  <si>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</si>
  <si>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</si>
  <si>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</si>
  <si>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</si>
  <si>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</si>
  <si>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</si>
  <si>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</si>
  <si>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</si>
  <si>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</si>
  <si>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</si>
  <si>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</si>
  <si>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</si>
  <si>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</si>
  <si>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</si>
  <si>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</si>
  <si>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</si>
  <si>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</si>
  <si>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</si>
  <si>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</si>
  <si>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</si>
  <si>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</si>
  <si>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</si>
  <si>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</si>
  <si>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</si>
  <si>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</si>
  <si>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</si>
  <si>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</si>
  <si>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</si>
  <si>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</si>
  <si>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</si>
  <si>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</si>
  <si>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</si>
  <si>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</si>
  <si>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</si>
  <si>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</si>
  <si>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</si>
  <si>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</si>
  <si>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</si>
  <si>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</si>
  <si>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</si>
  <si>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</si>
  <si>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</si>
  <si>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</si>
  <si>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</si>
  <si>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</si>
  <si>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</si>
  <si>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</si>
  <si>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</si>
  <si>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</si>
  <si>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</si>
  <si>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</si>
  <si>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</si>
  <si>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</si>
  <si>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</si>
  <si>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</si>
  <si>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</si>
  <si>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</si>
  <si>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</si>
  <si>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</si>
  <si>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</si>
  <si>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</si>
  <si>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</si>
  <si>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</si>
  <si>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</si>
  <si>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</si>
  <si>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</si>
  <si>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</si>
  <si>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</si>
  <si>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</si>
  <si>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</si>
  <si>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</si>
  <si>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</si>
  <si>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</si>
  <si>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</si>
  <si>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</si>
  <si>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</si>
  <si>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</si>
  <si>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</si>
  <si>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</si>
  <si>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</si>
  <si>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</si>
  <si>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</si>
  <si>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</si>
  <si>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</si>
  <si>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</si>
  <si>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</si>
  <si>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</si>
  <si>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</si>
  <si>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</si>
  <si>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</si>
  <si>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</si>
  <si>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</si>
  <si>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</si>
  <si>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</si>
  <si>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</si>
  <si>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</si>
  <si>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</si>
  <si>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</si>
  <si>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</si>
  <si>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</si>
  <si>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</si>
  <si>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</si>
  <si>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</si>
  <si>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</si>
  <si>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</si>
  <si>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</si>
  <si>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</si>
  <si>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</si>
  <si>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</si>
  <si>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</si>
  <si>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</si>
  <si>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</si>
  <si>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</si>
  <si>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</si>
  <si>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</si>
  <si>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</si>
  <si>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</si>
  <si>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</si>
  <si>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</si>
  <si>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</si>
  <si>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</si>
  <si>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</si>
  <si>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</si>
  <si>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</si>
  <si>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</si>
  <si>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</si>
  <si>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</si>
  <si>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</si>
  <si>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</si>
  <si>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</si>
  <si>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</si>
  <si>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</si>
  <si>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</si>
  <si>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</si>
  <si>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</si>
  <si>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</si>
  <si>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</si>
  <si>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</si>
  <si>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</si>
  <si>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</si>
  <si>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</si>
  <si>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</si>
  <si>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</si>
  <si>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</si>
  <si>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</si>
  <si>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</si>
  <si>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</si>
  <si>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</si>
  <si>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</si>
  <si>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</si>
  <si>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</si>
  <si>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</si>
  <si>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</si>
  <si>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</si>
  <si>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</si>
  <si>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</si>
  <si>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</si>
  <si>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</si>
  <si>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</si>
  <si>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</si>
  <si>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</si>
  <si>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</si>
  <si>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</si>
  <si>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</si>
  <si>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</si>
  <si>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</si>
  <si>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</si>
  <si>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</si>
  <si>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</si>
  <si>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</si>
  <si>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</si>
  <si>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</si>
  <si>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</si>
  <si>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</si>
  <si>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</si>
  <si>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</si>
  <si>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</si>
  <si>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</si>
  <si>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</si>
  <si>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</si>
  <si>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</si>
  <si>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</si>
  <si>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</si>
  <si>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</si>
  <si>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</si>
  <si>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</si>
  <si>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</si>
  <si>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</si>
  <si>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</si>
  <si>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</si>
  <si>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</si>
  <si>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</si>
  <si>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</si>
  <si>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</si>
  <si>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</si>
  <si>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</si>
  <si>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</si>
  <si>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</si>
  <si>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</si>
  <si>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</si>
  <si>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</si>
  <si>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</si>
  <si>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</si>
  <si>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</si>
  <si>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</si>
  <si>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</si>
  <si>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</si>
  <si>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</si>
  <si>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</si>
  <si>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</si>
  <si>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</si>
  <si>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</si>
  <si>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</si>
  <si>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</si>
  <si>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</si>
  <si>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</si>
  <si>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</si>
  <si>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</si>
  <si>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</si>
  <si>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</si>
  <si>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</si>
  <si>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</si>
  <si>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</si>
  <si>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</si>
  <si>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</si>
  <si>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</si>
  <si>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</si>
  <si>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</si>
  <si>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</si>
  <si>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</si>
  <si>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</si>
  <si>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</si>
  <si>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</si>
  <si>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</si>
  <si>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</si>
  <si>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</si>
  <si>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</si>
  <si>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</si>
  <si>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</si>
  <si>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</si>
  <si>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</si>
  <si>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</si>
  <si>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</si>
  <si>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</si>
  <si>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</si>
  <si>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</si>
  <si>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</si>
  <si>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</si>
  <si>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</si>
  <si>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</si>
  <si>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</si>
  <si>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</si>
  <si>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</si>
  <si>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</si>
  <si>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</si>
  <si>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</si>
  <si>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</si>
  <si>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</si>
  <si>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</si>
  <si>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</si>
  <si>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</si>
  <si>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</si>
  <si>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</si>
  <si>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</si>
  <si>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</si>
  <si>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</si>
  <si>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</si>
  <si>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</si>
  <si>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</si>
  <si>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</si>
  <si>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</si>
  <si>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</si>
  <si>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</si>
  <si>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</si>
  <si>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</si>
  <si>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</si>
  <si>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</si>
  <si>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</si>
  <si>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</si>
  <si>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</si>
  <si>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</si>
  <si>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</si>
  <si>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</si>
  <si>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</si>
  <si>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</si>
  <si>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</si>
  <si>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</si>
  <si>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</si>
  <si>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</si>
  <si>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</si>
  <si>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</si>
  <si>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</si>
  <si>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</si>
  <si>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</si>
  <si>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</si>
  <si>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</si>
  <si>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</si>
  <si>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</si>
  <si>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</si>
  <si>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</si>
  <si>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</si>
  <si>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</si>
  <si>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</si>
  <si>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</si>
  <si>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</si>
  <si>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</si>
  <si>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</si>
  <si>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</si>
  <si>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</si>
  <si>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</si>
  <si>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</si>
  <si>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</si>
  <si>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</si>
  <si>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</si>
  <si>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</si>
  <si>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</si>
  <si>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</si>
  <si>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</si>
  <si>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</si>
  <si>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</si>
  <si>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</si>
  <si>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</si>
  <si>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</si>
  <si>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</si>
  <si>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</si>
  <si>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</si>
  <si>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</si>
  <si>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</si>
  <si>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</si>
  <si>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</si>
  <si>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</si>
  <si>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</si>
  <si>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</si>
  <si>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</si>
  <si>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</si>
  <si>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</si>
  <si>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</si>
  <si>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</si>
  <si>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</si>
  <si>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</si>
  <si>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</si>
  <si>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</si>
  <si>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</si>
  <si>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</si>
  <si>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</si>
  <si>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</si>
  <si>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</si>
  <si>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</si>
  <si>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</si>
  <si>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</si>
  <si>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</si>
  <si>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</si>
  <si>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</si>
  <si>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</si>
  <si>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</si>
  <si>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</si>
  <si>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</si>
  <si>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</si>
  <si>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</si>
  <si>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</si>
  <si>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</si>
  <si>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</si>
  <si>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</si>
  <si>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</si>
  <si>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</si>
  <si>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</si>
  <si>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</si>
  <si>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</si>
  <si>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</si>
  <si>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</si>
  <si>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</si>
  <si>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</si>
  <si>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</si>
  <si>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</si>
  <si>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</si>
  <si>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</si>
  <si>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</si>
  <si>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</si>
  <si>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</si>
  <si>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</si>
  <si>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</si>
  <si>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</si>
  <si>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</si>
  <si>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</si>
  <si>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</si>
  <si>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</si>
  <si>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</si>
  <si>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</si>
  <si>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</si>
  <si>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</si>
  <si>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</si>
  <si>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</si>
  <si>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</si>
  <si>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</si>
  <si>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</si>
  <si>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</si>
  <si>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</si>
  <si>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</si>
  <si>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</si>
  <si>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</si>
  <si>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</si>
  <si>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</si>
  <si>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</si>
  <si>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</si>
  <si>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</si>
  <si>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</si>
  <si>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</si>
  <si>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</si>
  <si>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</si>
  <si>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</si>
  <si>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</si>
  <si>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</si>
  <si>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</si>
  <si>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</si>
  <si>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</si>
  <si>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</si>
  <si>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</si>
  <si>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</si>
  <si>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</si>
  <si>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</si>
  <si>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</si>
  <si>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</si>
  <si>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</si>
  <si>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</si>
  <si>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</si>
  <si>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</si>
  <si>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</si>
  <si>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</si>
  <si>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</si>
  <si>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</si>
  <si>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</si>
  <si>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</si>
  <si>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</si>
  <si>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</si>
  <si>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</si>
  <si>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</si>
  <si>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</si>
  <si>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</si>
  <si>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</si>
  <si>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</si>
  <si>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</si>
  <si>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</si>
  <si>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</si>
  <si>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</si>
  <si>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</si>
  <si>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</si>
  <si>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</si>
  <si>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</si>
  <si>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</si>
  <si>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</si>
  <si>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</si>
  <si>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</si>
  <si>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</si>
  <si>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</si>
  <si>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</si>
  <si>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</si>
  <si>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</si>
  <si>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</si>
  <si>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</si>
  <si>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</si>
  <si>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</si>
  <si>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</si>
  <si>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</si>
  <si>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</si>
  <si>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</si>
  <si>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</si>
  <si>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</si>
  <si>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</si>
  <si>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</si>
  <si>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</si>
  <si>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</si>
  <si>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</si>
  <si>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</si>
  <si>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</si>
  <si>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</si>
  <si>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</si>
  <si>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</si>
  <si>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</si>
  <si>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</si>
  <si>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</si>
  <si>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</si>
  <si>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</si>
  <si>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</si>
  <si>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</si>
  <si>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</si>
  <si>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</si>
  <si>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</si>
  <si>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</si>
  <si>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</si>
  <si>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</si>
  <si>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</si>
  <si>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</si>
  <si>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</si>
  <si>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</si>
  <si>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</si>
  <si>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</si>
  <si>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</si>
  <si>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</si>
  <si>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</si>
  <si>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</si>
  <si>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</si>
  <si>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</si>
  <si>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</si>
  <si>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</si>
  <si>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</si>
  <si>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</si>
  <si>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</si>
  <si>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</si>
  <si>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</si>
  <si>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</si>
  <si>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</si>
  <si>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</si>
  <si>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</si>
  <si>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</si>
  <si>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</si>
  <si>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</si>
  <si>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</si>
  <si>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</si>
  <si>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</si>
  <si>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</si>
  <si>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</si>
  <si>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</si>
  <si>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</si>
  <si>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</si>
  <si>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</si>
  <si>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</si>
  <si>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</si>
  <si>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</si>
  <si>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</si>
  <si>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</si>
  <si>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</si>
  <si>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</si>
  <si>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</si>
  <si>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</si>
  <si>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</si>
  <si>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</si>
  <si>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</si>
  <si>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</si>
  <si>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</si>
  <si>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</si>
  <si>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</si>
  <si>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</si>
  <si>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</si>
  <si>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</si>
  <si>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</si>
  <si>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</si>
  <si>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</si>
  <si>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</si>
  <si>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</si>
  <si>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</si>
  <si>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</si>
  <si>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</si>
  <si>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</si>
  <si>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</si>
  <si>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</si>
  <si>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</si>
  <si>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</si>
  <si>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</si>
  <si>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</si>
  <si>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</si>
  <si>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</si>
  <si>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</si>
  <si>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</si>
  <si>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</si>
  <si>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</si>
  <si>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</si>
  <si>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</si>
  <si>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</si>
  <si>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</si>
  <si>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</si>
  <si>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</si>
  <si>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</si>
  <si>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</si>
  <si>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</si>
  <si>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</si>
  <si>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</si>
  <si>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</si>
  <si>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</si>
  <si>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</si>
  <si>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</si>
  <si>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</si>
  <si>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</si>
  <si>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</si>
  <si>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</si>
  <si>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</si>
  <si>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</si>
  <si>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</si>
  <si>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</si>
  <si>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</si>
  <si>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</si>
  <si>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</si>
  <si>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</si>
  <si>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</si>
  <si>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</si>
  <si>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</si>
  <si>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</si>
  <si>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</si>
  <si>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</si>
  <si>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</si>
  <si>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</si>
  <si>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</si>
  <si>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</si>
  <si>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</si>
  <si>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</si>
  <si>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</si>
  <si>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</si>
  <si>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</si>
  <si>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</si>
  <si>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</si>
  <si>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</si>
  <si>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</si>
  <si>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</si>
  <si>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</si>
  <si>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</si>
  <si>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</si>
  <si>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</si>
  <si>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</si>
  <si>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</si>
  <si>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</si>
  <si>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</si>
  <si>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</si>
  <si>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</si>
  <si>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</si>
  <si>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</si>
  <si>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</si>
  <si>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</si>
  <si>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</si>
  <si>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</si>
  <si>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</si>
  <si>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</si>
  <si>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</si>
  <si>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</si>
  <si>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</si>
  <si>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</si>
  <si>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</si>
  <si>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</si>
  <si>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</si>
  <si>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</si>
  <si>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</si>
  <si>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</si>
  <si>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</si>
  <si>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</si>
  <si>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</si>
  <si>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</si>
  <si>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</si>
  <si>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</si>
  <si>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</si>
  <si>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</si>
  <si>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</si>
  <si>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</si>
  <si>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</si>
  <si>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</si>
  <si>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</si>
  <si>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</si>
  <si>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</si>
  <si>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</si>
  <si>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</si>
  <si>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</si>
  <si>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</si>
  <si>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</si>
  <si>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</si>
  <si>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</si>
  <si>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</si>
  <si>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</si>
  <si>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</si>
  <si>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</si>
  <si>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</si>
  <si>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</si>
  <si>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</si>
  <si>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</si>
  <si>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</si>
  <si>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</si>
  <si>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</si>
  <si>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</si>
  <si>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</si>
  <si>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</si>
  <si>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</si>
  <si>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</si>
  <si>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</si>
  <si>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</si>
  <si>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</si>
  <si>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</si>
  <si>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</si>
  <si>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</si>
  <si>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</si>
  <si>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</si>
  <si>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</si>
  <si>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</si>
  <si>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</si>
  <si>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</si>
  <si>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</si>
  <si>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</si>
  <si>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</si>
  <si>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</si>
  <si>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</si>
  <si>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</si>
  <si>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</si>
  <si>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</si>
  <si>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</si>
  <si>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</si>
  <si>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</si>
  <si>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</si>
  <si>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</si>
  <si>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</si>
  <si>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</si>
  <si>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</si>
  <si>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</si>
  <si>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</si>
  <si>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</si>
  <si>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</si>
  <si>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</si>
  <si>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</si>
  <si>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</si>
  <si>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</si>
  <si>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</si>
  <si>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</si>
  <si>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</si>
  <si>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</si>
  <si>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</si>
  <si>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</si>
  <si>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</si>
  <si>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</si>
  <si>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</si>
  <si>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</si>
  <si>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</si>
  <si>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</si>
  <si>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</si>
  <si>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</si>
  <si>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</si>
  <si>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</si>
  <si>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</si>
  <si>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</si>
  <si>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</si>
  <si>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</si>
  <si>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</si>
  <si>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</si>
  <si>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</si>
  <si>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</si>
  <si>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</si>
  <si>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</si>
  <si>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</si>
  <si>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</si>
  <si>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</si>
  <si>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</si>
  <si>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</si>
  <si>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</si>
  <si>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</si>
  <si>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</si>
  <si>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</si>
  <si>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</si>
  <si>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</si>
  <si>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</si>
  <si>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</si>
  <si>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</si>
  <si>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</si>
  <si>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</si>
  <si>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</si>
  <si>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</si>
  <si>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</si>
  <si>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</si>
  <si>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</si>
  <si>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</si>
  <si>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</si>
  <si>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</si>
  <si>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</si>
  <si>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</si>
  <si>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</si>
  <si>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</si>
  <si>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</si>
  <si>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</si>
  <si>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</si>
  <si>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</si>
  <si>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</si>
  <si>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</si>
  <si>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</si>
  <si>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</si>
  <si>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</si>
  <si>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</si>
  <si>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</si>
  <si>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</si>
  <si>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</si>
  <si>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</si>
  <si>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</si>
  <si>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</si>
  <si>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</si>
  <si>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</si>
  <si>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</si>
  <si>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</si>
  <si>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</si>
  <si>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</si>
  <si>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</si>
  <si>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</si>
  <si>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</si>
  <si>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</si>
  <si>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</si>
  <si>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</si>
  <si>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</si>
  <si>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</si>
  <si>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</si>
  <si>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</si>
  <si>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</si>
  <si>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</si>
  <si>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</si>
  <si>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</si>
  <si>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</si>
  <si>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</si>
  <si>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</si>
  <si>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</si>
  <si>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</si>
  <si>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</si>
  <si>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</si>
  <si>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</si>
  <si>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</si>
  <si>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</si>
  <si>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</si>
  <si>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</si>
  <si>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</si>
  <si>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</si>
  <si>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</si>
  <si>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</si>
  <si>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</si>
  <si>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</si>
  <si>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</si>
  <si>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</si>
  <si>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</si>
  <si>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</si>
  <si>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</si>
  <si>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</si>
  <si>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</si>
  <si>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</si>
  <si>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</si>
  <si>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</si>
  <si>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</si>
  <si>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</si>
  <si>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</si>
  <si>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</si>
  <si>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</si>
  <si>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</si>
  <si>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</si>
  <si>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</si>
  <si>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</si>
  <si>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</si>
  <si>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</si>
  <si>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</si>
  <si>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</si>
  <si>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</si>
  <si>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</si>
  <si>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</si>
  <si>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</si>
  <si>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</si>
  <si>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</si>
  <si>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</si>
  <si>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</si>
  <si>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</si>
  <si>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</si>
  <si>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</si>
  <si>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</si>
  <si>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</si>
  <si>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</si>
  <si>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</si>
  <si>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</si>
  <si>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</si>
  <si>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</si>
  <si>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</si>
  <si>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</si>
  <si>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</si>
  <si>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</si>
  <si>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</si>
  <si>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</si>
  <si>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</si>
  <si>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</si>
  <si>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</si>
  <si>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</si>
  <si>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</si>
  <si>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</si>
  <si>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</si>
  <si>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</si>
  <si>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</si>
  <si>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</si>
  <si>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</si>
  <si>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</si>
  <si>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</si>
  <si>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</si>
  <si>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</si>
  <si>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</si>
  <si>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</si>
  <si>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</si>
  <si>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</si>
  <si>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</si>
  <si>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</si>
  <si>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</si>
  <si>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</si>
  <si>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</si>
  <si>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</si>
  <si>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</si>
  <si>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</si>
  <si>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</si>
  <si>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</si>
  <si>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</si>
  <si>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</si>
  <si>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</si>
  <si>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</si>
  <si>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</si>
  <si>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</si>
  <si>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</si>
  <si>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</si>
  <si>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</si>
  <si>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</si>
  <si>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</si>
  <si>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</si>
  <si>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</si>
  <si>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</si>
  <si>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</si>
  <si>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</si>
  <si>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</si>
  <si>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</si>
  <si>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</si>
  <si>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</si>
  <si>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</si>
  <si>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</si>
  <si>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</si>
  <si>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</si>
  <si>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</si>
  <si>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</si>
  <si>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</si>
  <si>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</si>
  <si>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</si>
  <si>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</si>
  <si>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</si>
  <si>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</si>
  <si>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</si>
  <si>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</si>
  <si>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</si>
  <si>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</si>
  <si>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</si>
  <si>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</si>
  <si>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</si>
  <si>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</si>
  <si>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</si>
  <si>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</si>
  <si>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</si>
  <si>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</si>
  <si>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</si>
  <si>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</si>
  <si>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</si>
  <si>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</si>
  <si>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</si>
  <si>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</si>
  <si>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</si>
  <si>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</si>
  <si>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</si>
  <si>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</si>
  <si>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</si>
  <si>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</si>
  <si>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</si>
  <si>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</si>
  <si>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</si>
  <si>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</si>
  <si>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</si>
  <si>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</si>
  <si>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</si>
  <si>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</si>
  <si>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</si>
  <si>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</si>
  <si>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</si>
  <si>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</si>
  <si>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</si>
  <si>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</si>
  <si>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</si>
  <si>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</si>
  <si>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</si>
  <si>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</si>
  <si>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</si>
  <si>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</si>
  <si>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</si>
  <si>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</si>
  <si>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</si>
  <si>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</si>
  <si>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</si>
  <si>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</si>
  <si>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</si>
  <si>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</si>
  <si>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</si>
  <si>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</si>
  <si>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</si>
  <si>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</si>
  <si>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</si>
  <si>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</si>
  <si>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</si>
  <si>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</si>
  <si>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</si>
  <si>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</si>
  <si>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</si>
  <si>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</si>
  <si>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</si>
  <si>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</si>
  <si>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</si>
  <si>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</si>
  <si>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</si>
  <si>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</si>
  <si>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</si>
  <si>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</si>
  <si>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</si>
  <si>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</si>
  <si>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</si>
  <si>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</si>
  <si>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</si>
  <si>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</si>
  <si>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</si>
  <si>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</si>
  <si>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</si>
  <si>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</si>
  <si>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</si>
  <si>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</si>
  <si>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</si>
  <si>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</si>
  <si>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</si>
  <si>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</si>
  <si>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</si>
  <si>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</si>
  <si>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</si>
  <si>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</si>
  <si>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</si>
  <si>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</si>
  <si>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</si>
  <si>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</si>
  <si>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</si>
  <si>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</si>
  <si>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</si>
  <si>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</si>
  <si>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</si>
  <si>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</si>
  <si>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</si>
  <si>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</si>
  <si>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</si>
  <si>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</si>
  <si>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</si>
  <si>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</si>
  <si>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</si>
  <si>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</si>
  <si>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</si>
  <si>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</si>
  <si>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</si>
  <si>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</si>
  <si>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</si>
  <si>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</si>
  <si>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</si>
  <si>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</si>
  <si>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</si>
  <si>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</si>
  <si>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</si>
  <si>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</si>
  <si>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</si>
  <si>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</si>
  <si>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</si>
  <si>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</si>
  <si>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</si>
  <si>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</si>
  <si>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</si>
  <si>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</si>
  <si>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</si>
  <si>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</si>
  <si>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</si>
  <si>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</si>
  <si>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</si>
  <si>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</si>
  <si>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</si>
  <si>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</si>
  <si>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</si>
  <si>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</si>
  <si>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</si>
  <si>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</si>
  <si>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</si>
  <si>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</si>
  <si>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</si>
  <si>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</si>
  <si>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</si>
  <si>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</si>
  <si>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</si>
  <si>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</si>
  <si>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</si>
  <si>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</si>
  <si>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</si>
  <si>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</si>
  <si>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</si>
  <si>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</si>
  <si>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</si>
  <si>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</si>
  <si>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</si>
  <si>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</si>
  <si>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</si>
  <si>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</si>
  <si>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</si>
  <si>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</si>
  <si>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</si>
  <si>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</si>
  <si>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</si>
  <si>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</si>
  <si>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</si>
  <si>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</si>
  <si>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</si>
  <si>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</si>
  <si>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</si>
  <si>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</si>
  <si>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</si>
  <si>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</si>
  <si>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</si>
  <si>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</si>
  <si>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</si>
  <si>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</si>
  <si>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</si>
  <si>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</si>
  <si>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</si>
  <si>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</si>
  <si>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</si>
  <si>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</si>
  <si>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</si>
  <si>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</si>
  <si>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</si>
  <si>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</si>
  <si>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</si>
  <si>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</si>
  <si>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</si>
  <si>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</si>
  <si>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</si>
  <si>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</si>
  <si>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</si>
  <si>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</si>
  <si>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</si>
  <si>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</si>
  <si>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</si>
  <si>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</si>
  <si>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</si>
  <si>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</si>
  <si>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</si>
  <si>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</si>
  <si>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</si>
  <si>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</si>
  <si>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</si>
  <si>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</si>
  <si>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</si>
  <si>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</si>
  <si>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</si>
  <si>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</si>
  <si>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</si>
  <si>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</si>
  <si>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</si>
  <si>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</si>
  <si>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</si>
  <si>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</si>
  <si>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</si>
  <si>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</si>
  <si>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</si>
  <si>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</si>
  <si>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</si>
  <si>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</si>
  <si>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</si>
  <si>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</si>
  <si>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</si>
  <si>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</si>
  <si>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</si>
  <si>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</si>
  <si>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</si>
  <si>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</si>
  <si>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</si>
  <si>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</si>
  <si>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</si>
  <si>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</si>
  <si>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</si>
  <si>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</si>
  <si>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</si>
  <si>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</si>
  <si>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</si>
  <si>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</si>
  <si>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</si>
  <si>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</si>
  <si>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</si>
  <si>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</si>
  <si>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</si>
  <si>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</si>
  <si>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</si>
  <si>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</si>
  <si>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</si>
  <si>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</si>
  <si>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</si>
  <si>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</si>
  <si>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</si>
  <si>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</si>
  <si>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</si>
  <si>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</si>
  <si>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</si>
  <si>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</si>
  <si>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</si>
  <si>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</si>
  <si>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</si>
  <si>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</si>
  <si>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</si>
  <si>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</si>
  <si>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</si>
  <si>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</si>
  <si>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</si>
  <si>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</si>
  <si>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</si>
  <si>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</si>
  <si>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</si>
  <si>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</si>
  <si>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</si>
  <si>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</si>
  <si>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</si>
  <si>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</si>
  <si>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</si>
  <si>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</si>
  <si>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</si>
  <si>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</si>
  <si>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</si>
  <si>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</si>
  <si>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</si>
  <si>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</si>
  <si>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</si>
  <si>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</si>
  <si>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</si>
  <si>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</si>
  <si>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</si>
  <si>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</si>
  <si>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</si>
  <si>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</si>
  <si>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</si>
  <si>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</si>
  <si>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</si>
  <si>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</si>
  <si>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</si>
  <si>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</si>
  <si>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</si>
  <si>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</si>
  <si>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</si>
  <si>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</si>
  <si>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</si>
  <si>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</si>
  <si>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</si>
  <si>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</si>
  <si>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</si>
  <si>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</si>
  <si>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</si>
  <si>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</si>
  <si>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</si>
  <si>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</si>
  <si>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</si>
  <si>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</si>
  <si>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</si>
  <si>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</si>
  <si>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</si>
  <si>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</si>
  <si>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</si>
  <si>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</si>
  <si>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</si>
  <si>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</si>
  <si>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</si>
  <si>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</si>
  <si>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</si>
  <si>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</si>
  <si>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</si>
  <si>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</si>
  <si>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</si>
  <si>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</si>
  <si>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</si>
  <si>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</si>
  <si>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</si>
  <si>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</si>
  <si>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</si>
  <si>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</si>
  <si>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</si>
  <si>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</si>
  <si>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</si>
  <si>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</si>
  <si>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</si>
  <si>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</si>
  <si>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</si>
  <si>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</si>
  <si>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</si>
  <si>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</si>
  <si>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</si>
  <si>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</si>
  <si>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</si>
  <si>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</si>
  <si>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</si>
  <si>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</si>
  <si>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</si>
  <si>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</si>
  <si>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</si>
  <si>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</si>
  <si>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</si>
  <si>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</si>
  <si>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</si>
  <si>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</si>
  <si>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</si>
  <si>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</si>
  <si>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</si>
  <si>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</si>
  <si>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</si>
  <si>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</si>
  <si>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</si>
  <si>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</si>
  <si>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</si>
  <si>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</si>
  <si>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</si>
  <si>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</si>
  <si>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</si>
  <si>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</si>
  <si>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</si>
  <si>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</si>
  <si>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</si>
  <si>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</si>
  <si>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</si>
  <si>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</si>
  <si>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</si>
  <si>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</si>
  <si>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</si>
  <si>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</si>
  <si>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</si>
  <si>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</si>
  <si>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</si>
  <si>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</si>
  <si>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</si>
  <si>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</si>
  <si>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</si>
  <si>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</si>
  <si>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</si>
  <si>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</si>
  <si>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</si>
  <si>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</si>
  <si>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</si>
  <si>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</si>
  <si>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</si>
  <si>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</si>
  <si>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</si>
  <si>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</si>
  <si>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</si>
  <si>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</si>
  <si>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</si>
  <si>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</si>
  <si>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</si>
  <si>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</si>
  <si>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</si>
  <si>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</si>
  <si>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</si>
  <si>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</si>
  <si>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</si>
  <si>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</si>
  <si>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</si>
  <si>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</si>
  <si>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</si>
  <si>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</si>
  <si>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</si>
  <si>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</si>
  <si>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</si>
  <si>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</si>
  <si>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</si>
  <si>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</si>
  <si>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</si>
  <si>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</si>
  <si>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</si>
  <si>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</si>
  <si>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</si>
  <si>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</si>
  <si>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</si>
  <si>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</si>
  <si>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</si>
  <si>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</si>
  <si>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</si>
  <si>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</si>
  <si>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</si>
  <si>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</si>
  <si>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</si>
  <si>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</si>
  <si>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</si>
  <si>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</si>
  <si>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</si>
  <si>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</si>
  <si>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</si>
  <si>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</si>
  <si>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</si>
  <si>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</si>
  <si>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</si>
  <si>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</si>
  <si>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</si>
  <si>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</si>
  <si>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</si>
  <si>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</si>
  <si>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</si>
  <si>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</si>
  <si>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</si>
  <si>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</si>
  <si>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</si>
  <si>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</si>
  <si>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</si>
  <si>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</si>
  <si>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</si>
  <si>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</si>
  <si>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</si>
  <si>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</si>
  <si>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</si>
  <si>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</si>
  <si>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</si>
  <si>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</si>
  <si>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</si>
  <si>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</si>
  <si>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</si>
  <si>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</si>
  <si>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</si>
  <si>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</si>
  <si>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</si>
  <si>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</si>
  <si>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</si>
  <si>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</si>
  <si>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</si>
  <si>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</si>
  <si>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</si>
  <si>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</si>
  <si>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</si>
  <si>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</si>
  <si>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</si>
  <si>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</si>
  <si>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</si>
  <si>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</si>
  <si>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</si>
  <si>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</si>
  <si>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</si>
  <si>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</si>
  <si>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</si>
  <si>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</si>
  <si>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</si>
  <si>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</si>
  <si>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</si>
  <si>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</si>
  <si>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</si>
  <si>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</si>
  <si>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</si>
  <si>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</si>
  <si>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</si>
  <si>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</si>
  <si>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</si>
  <si>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</si>
  <si>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</si>
  <si>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</si>
  <si>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</si>
  <si>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</si>
  <si>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</si>
  <si>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</si>
  <si>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</si>
  <si>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</si>
  <si>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</si>
  <si>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</si>
  <si>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</si>
  <si>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</si>
  <si>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</si>
  <si>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</si>
  <si>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</si>
  <si>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</si>
  <si>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</si>
  <si>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</si>
  <si>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</si>
  <si>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</si>
  <si>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</si>
  <si>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</si>
  <si>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</si>
  <si>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</si>
  <si>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</si>
  <si>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</si>
  <si>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</si>
  <si>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</si>
  <si>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</si>
  <si>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</si>
  <si>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</si>
  <si>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</si>
  <si>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</si>
  <si>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</si>
  <si>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</si>
  <si>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</si>
  <si>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</si>
  <si>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</si>
  <si>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</si>
  <si>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</si>
  <si>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</si>
  <si>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</si>
  <si>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</si>
  <si>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</si>
  <si>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</si>
  <si>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</si>
  <si>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</si>
  <si>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</si>
  <si>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</si>
  <si>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</si>
  <si>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</si>
  <si>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</si>
  <si>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</si>
  <si>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</si>
  <si>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</si>
  <si>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</si>
  <si>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</si>
  <si>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</si>
  <si>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</si>
  <si>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</si>
  <si>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</si>
  <si>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</si>
  <si>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</si>
  <si>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</si>
  <si>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</si>
  <si>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</si>
  <si>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</si>
  <si>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</si>
  <si>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</si>
  <si>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</si>
  <si>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</si>
  <si>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</si>
  <si>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</si>
  <si>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</si>
  <si>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</si>
  <si>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</si>
  <si>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</si>
  <si>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</si>
  <si>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</si>
  <si>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</si>
  <si>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</si>
  <si>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</si>
  <si>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</si>
  <si>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</si>
  <si>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</si>
  <si>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</si>
  <si>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</si>
  <si>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</si>
  <si>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</si>
  <si>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</si>
  <si>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</si>
  <si>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</si>
  <si>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</si>
  <si>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</si>
  <si>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</si>
  <si>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</si>
  <si>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</si>
  <si>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</si>
  <si>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</si>
  <si>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</si>
  <si>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</si>
  <si>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</si>
  <si>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</si>
  <si>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</si>
  <si>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</si>
  <si>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</si>
  <si>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</si>
  <si>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</si>
  <si>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</si>
  <si>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</si>
  <si>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</si>
  <si>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</si>
  <si>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</si>
  <si>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</si>
  <si>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</si>
  <si>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</si>
  <si>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</si>
  <si>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</si>
  <si>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</si>
  <si>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</si>
  <si>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</si>
  <si>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</si>
  <si>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</si>
  <si>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</si>
  <si>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</si>
  <si>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</si>
  <si>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</si>
  <si>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</si>
  <si>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</si>
  <si>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</si>
  <si>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</si>
  <si>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</si>
  <si>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</si>
  <si>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</si>
  <si>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</si>
  <si>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</si>
  <si>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</si>
  <si>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</si>
  <si>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</si>
  <si>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</si>
  <si>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</si>
  <si>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</si>
  <si>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</si>
  <si>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</si>
  <si>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</si>
  <si>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</si>
  <si>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</si>
  <si>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</si>
  <si>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</si>
  <si>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</si>
  <si>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</si>
  <si>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</si>
  <si>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</si>
  <si>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</si>
  <si>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</si>
  <si>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</si>
  <si>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</si>
  <si>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</si>
  <si>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</si>
  <si>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</si>
  <si>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</si>
  <si>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</si>
  <si>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</si>
  <si>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</si>
  <si>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</si>
  <si>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</si>
  <si>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</si>
  <si>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</si>
  <si>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</si>
  <si>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</si>
  <si>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</si>
  <si>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</si>
  <si>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</si>
  <si>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</si>
  <si>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</si>
  <si>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</si>
  <si>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</si>
  <si>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</si>
  <si>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</si>
  <si>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</si>
  <si>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</si>
  <si>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</si>
  <si>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</si>
  <si>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</si>
  <si>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</si>
  <si>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</si>
  <si>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</si>
  <si>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</si>
  <si>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</si>
  <si>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</si>
  <si>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</si>
  <si>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</si>
  <si>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</si>
  <si>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</si>
  <si>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</si>
  <si>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</si>
  <si>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</si>
  <si>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</si>
  <si>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</si>
  <si>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</si>
  <si>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</si>
  <si>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</si>
  <si>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</si>
  <si>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</si>
  <si>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</si>
  <si>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</si>
  <si>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</si>
  <si>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</si>
  <si>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</si>
  <si>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</si>
  <si>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</si>
  <si>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</si>
  <si>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</si>
  <si>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</si>
  <si>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</si>
  <si>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</si>
  <si>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</si>
  <si>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</si>
  <si>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</si>
  <si>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</si>
  <si>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</si>
  <si>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</si>
  <si>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</si>
  <si>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</si>
  <si>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</si>
  <si>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</si>
  <si>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</si>
  <si>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</si>
  <si>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</si>
  <si>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</si>
  <si>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</si>
  <si>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</si>
  <si>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</si>
  <si>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</si>
  <si>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</si>
  <si>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</si>
  <si>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</si>
  <si>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</si>
  <si>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</si>
  <si>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</si>
  <si>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</si>
  <si>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</si>
  <si>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</si>
  <si>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</si>
  <si>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</si>
  <si>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</si>
  <si>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</si>
  <si>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</si>
  <si>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</si>
  <si>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</si>
  <si>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</si>
  <si>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</si>
  <si>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</si>
  <si>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</si>
  <si>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</si>
  <si>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</si>
  <si>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</si>
  <si>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</si>
  <si>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</si>
  <si>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</si>
  <si>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</si>
  <si>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</si>
  <si>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</si>
  <si>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</si>
  <si>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</si>
  <si>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</si>
  <si>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</si>
  <si>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</si>
  <si>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</si>
  <si>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</si>
  <si>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</si>
  <si>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</si>
  <si>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</si>
  <si>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</si>
  <si>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</si>
  <si>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</si>
  <si>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</si>
  <si>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</si>
  <si>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</si>
  <si>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</si>
  <si>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</si>
  <si>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</si>
  <si>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</si>
  <si>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</si>
  <si>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</si>
  <si>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</si>
  <si>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</si>
  <si>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</si>
  <si>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</si>
  <si>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</si>
  <si>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</si>
  <si>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</si>
  <si>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</si>
  <si>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</si>
  <si>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</si>
  <si>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</si>
  <si>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</si>
  <si>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</si>
  <si>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</si>
  <si>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</si>
  <si>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</si>
  <si>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</si>
  <si>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</si>
  <si>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</si>
  <si>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</si>
  <si>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</si>
  <si>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</si>
  <si>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</si>
  <si>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</si>
  <si>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</si>
  <si>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</si>
  <si>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</si>
  <si>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</si>
  <si>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</si>
  <si>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</si>
  <si>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</si>
  <si>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</si>
  <si>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</si>
  <si>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</si>
  <si>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</si>
  <si>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</si>
  <si>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</si>
  <si>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</si>
  <si>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</si>
  <si>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</si>
  <si>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</si>
  <si>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</si>
  <si>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</si>
  <si>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</si>
  <si>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</si>
  <si>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</si>
  <si>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</si>
  <si>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</si>
  <si>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</si>
  <si>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</si>
  <si>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</si>
  <si>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</si>
  <si>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</si>
  <si>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</si>
  <si>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</si>
  <si>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</si>
  <si>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</si>
  <si>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</si>
  <si>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</si>
  <si>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</si>
  <si>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</si>
  <si>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</si>
  <si>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</si>
  <si>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</si>
  <si>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</si>
  <si>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</si>
  <si>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</si>
  <si>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</si>
  <si>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</si>
  <si>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</si>
  <si>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</si>
  <si>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</si>
  <si>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</si>
  <si>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</si>
  <si>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</si>
  <si>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</si>
  <si>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</si>
  <si>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</si>
  <si>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</si>
  <si>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</si>
  <si>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</si>
  <si>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</si>
  <si>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</si>
  <si>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</si>
  <si>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</si>
  <si>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</si>
  <si>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</si>
  <si>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</si>
  <si>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</si>
  <si>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</si>
  <si>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</si>
  <si>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</si>
  <si>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</si>
  <si>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</si>
  <si>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</si>
  <si>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</si>
  <si>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</si>
  <si>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</si>
  <si>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</si>
  <si>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</si>
  <si>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</si>
  <si>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</si>
  <si>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</si>
  <si>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</si>
  <si>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</si>
  <si>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</si>
  <si>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</si>
  <si>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</si>
  <si>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</si>
  <si>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</si>
  <si>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</si>
  <si>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</si>
  <si>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</si>
  <si>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</si>
  <si>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</si>
  <si>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</si>
  <si>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</si>
  <si>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</si>
  <si>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</si>
  <si>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</si>
  <si>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</si>
  <si>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</si>
  <si>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</si>
  <si>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</si>
  <si>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</si>
  <si>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</si>
  <si>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</si>
  <si>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</si>
  <si>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</si>
  <si>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</si>
  <si>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</si>
  <si>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</si>
  <si>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</si>
  <si>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</si>
  <si>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</si>
  <si>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</si>
  <si>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</si>
  <si>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</si>
  <si>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</si>
  <si>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</si>
  <si>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</si>
  <si>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</si>
  <si>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</si>
  <si>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</si>
  <si>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</si>
  <si>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</si>
  <si>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</si>
  <si>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</si>
  <si>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</si>
  <si>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</si>
  <si>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</si>
  <si>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</si>
  <si>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</si>
  <si>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</si>
  <si>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</si>
  <si>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</si>
  <si>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</si>
  <si>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</si>
  <si>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</si>
  <si>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</si>
  <si>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</si>
  <si>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</si>
  <si>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</si>
  <si>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</si>
  <si>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</si>
  <si>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</si>
  <si>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</si>
  <si>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</si>
  <si>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</si>
  <si>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</si>
  <si>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</si>
  <si>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</si>
  <si>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</si>
  <si>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</si>
  <si>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</si>
  <si>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</si>
  <si>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</si>
  <si>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</si>
  <si>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</si>
  <si>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</si>
  <si>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</si>
  <si>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</si>
  <si>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</si>
  <si>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</si>
  <si>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</si>
  <si>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</si>
  <si>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</si>
  <si>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</si>
  <si>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</si>
  <si>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</si>
  <si>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</si>
  <si>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</si>
  <si>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</si>
  <si>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</si>
  <si>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</si>
  <si>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</si>
  <si>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</si>
  <si>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</si>
  <si>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</si>
  <si>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</si>
  <si>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</si>
  <si>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</si>
  <si>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</si>
  <si>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</si>
  <si>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</si>
  <si>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</si>
  <si>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</si>
  <si>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</si>
  <si>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</si>
  <si>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</si>
  <si>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</si>
  <si>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</si>
  <si>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</si>
  <si>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</si>
  <si>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</si>
  <si>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</si>
  <si>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</si>
  <si>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</si>
  <si>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</si>
  <si>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</si>
  <si>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</si>
  <si>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</si>
  <si>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</si>
  <si>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</si>
  <si>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</si>
  <si>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</si>
  <si>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</si>
  <si>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</si>
  <si>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</si>
  <si>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</si>
  <si>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</si>
  <si>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</si>
  <si>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</si>
  <si>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</si>
  <si>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</si>
  <si>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</si>
  <si>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</si>
  <si>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</si>
  <si>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</si>
  <si>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</si>
  <si>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</si>
  <si>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</si>
  <si>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</si>
  <si>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</si>
  <si>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</si>
  <si>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</si>
  <si>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</si>
  <si>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</si>
  <si>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</si>
  <si>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</si>
  <si>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</si>
  <si>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</si>
  <si>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</si>
  <si>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</si>
  <si>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</si>
  <si>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</si>
  <si>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</si>
  <si>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</si>
  <si>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</si>
  <si>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</si>
  <si>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</si>
  <si>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</si>
  <si>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</si>
  <si>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</si>
  <si>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</si>
  <si>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</si>
  <si>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</si>
  <si>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</si>
  <si>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</si>
  <si>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</si>
  <si>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</si>
  <si>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</si>
  <si>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</si>
  <si>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</si>
  <si>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</si>
  <si>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</si>
  <si>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</si>
  <si>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</si>
  <si>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</si>
  <si>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</si>
  <si>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</si>
  <si>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</si>
  <si>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</si>
  <si>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</si>
  <si>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</si>
  <si>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</si>
  <si>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</si>
  <si>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</si>
  <si>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</si>
  <si>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</si>
  <si>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</si>
  <si>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</si>
  <si>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</si>
  <si>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</si>
  <si>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</si>
  <si>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</si>
  <si>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</si>
  <si>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</si>
  <si>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</si>
  <si>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</si>
  <si>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</si>
  <si>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</si>
  <si>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</si>
  <si>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</si>
  <si>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</si>
  <si>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</si>
  <si>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</si>
  <si>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</si>
  <si>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</si>
  <si>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</si>
  <si>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</si>
  <si>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</si>
  <si>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</si>
  <si>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</si>
  <si>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</si>
  <si>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</si>
  <si>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</si>
  <si>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</si>
  <si>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</si>
  <si>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</si>
  <si>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</si>
  <si>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</si>
  <si>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</si>
  <si>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</si>
  <si>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</si>
  <si>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</si>
  <si>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</si>
  <si>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</si>
  <si>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</si>
  <si>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</si>
  <si>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</si>
  <si>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</si>
  <si>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</si>
  <si>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</si>
  <si>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</si>
  <si>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</si>
  <si>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</si>
  <si>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</si>
  <si>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</si>
  <si>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</si>
  <si>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</si>
  <si>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</si>
  <si>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</si>
  <si>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</si>
  <si>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</si>
  <si>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</si>
  <si>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</si>
  <si>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</si>
  <si>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</si>
  <si>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</si>
  <si>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</si>
  <si>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</si>
  <si>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</si>
  <si>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</si>
  <si>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</si>
  <si>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</si>
  <si>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</si>
  <si>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</si>
  <si>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</si>
  <si>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</si>
  <si>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</si>
  <si>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</si>
  <si>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</si>
  <si>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</si>
  <si>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</si>
  <si>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</si>
  <si>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</si>
  <si>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</si>
  <si>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</si>
  <si>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</si>
  <si>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</si>
  <si>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</si>
  <si>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</si>
  <si>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</si>
  <si>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</si>
  <si>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</si>
  <si>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</si>
  <si>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</si>
  <si>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</si>
  <si>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</si>
  <si>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</si>
  <si>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</si>
  <si>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</si>
  <si>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</si>
  <si>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</si>
  <si>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</si>
  <si>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</si>
  <si>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</si>
  <si>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</si>
  <si>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</si>
  <si>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</si>
  <si>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</si>
  <si>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</si>
  <si>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</si>
  <si>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</si>
  <si>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</si>
  <si>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</si>
  <si>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</si>
  <si>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</si>
  <si>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</si>
  <si>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</si>
  <si>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</si>
  <si>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</si>
  <si>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</si>
  <si>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</si>
  <si>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</si>
  <si>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</si>
  <si>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</si>
  <si>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</si>
  <si>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</si>
  <si>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</si>
  <si>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</si>
  <si>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</si>
  <si>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</si>
  <si>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</si>
  <si>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</si>
  <si>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</si>
  <si>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</si>
  <si>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</si>
  <si>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</si>
  <si>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</si>
  <si>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</si>
  <si>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</si>
  <si>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</si>
  <si>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</si>
  <si>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</si>
  <si>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</si>
  <si>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</si>
  <si>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</si>
  <si>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</si>
  <si>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</si>
  <si>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</si>
  <si>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</si>
  <si>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</si>
  <si>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</si>
  <si>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</si>
  <si>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</si>
  <si>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</si>
  <si>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</si>
  <si>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</si>
  <si>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</si>
  <si>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</si>
  <si>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</si>
  <si>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</si>
  <si>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</si>
  <si>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</si>
  <si>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</si>
  <si>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</si>
  <si>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</si>
  <si>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</si>
  <si>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</si>
  <si>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</si>
  <si>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</si>
  <si>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</si>
  <si>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</si>
  <si>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</si>
  <si>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</si>
  <si>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</si>
  <si>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</si>
  <si>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</si>
  <si>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</si>
  <si>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</si>
  <si>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</si>
  <si>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</si>
  <si>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</si>
  <si>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</si>
  <si>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</si>
  <si>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</si>
  <si>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</si>
  <si>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</si>
  <si>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</si>
  <si>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</si>
  <si>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</si>
  <si>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</si>
  <si>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</si>
  <si>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</si>
  <si>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</si>
  <si>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</si>
  <si>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</si>
  <si>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</si>
  <si>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</si>
  <si>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</si>
  <si>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</si>
  <si>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</si>
  <si>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</si>
  <si>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</si>
  <si>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</si>
  <si>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</si>
  <si>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</si>
  <si>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</si>
  <si>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</si>
  <si>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</si>
  <si>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</si>
  <si>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</si>
  <si>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</si>
  <si>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</si>
  <si>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</si>
  <si>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</si>
  <si>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</si>
  <si>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</si>
  <si>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</si>
  <si>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</si>
  <si>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</si>
  <si>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</si>
  <si>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</si>
  <si>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</si>
  <si>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</si>
  <si>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</si>
  <si>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</si>
  <si>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</si>
  <si>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</si>
  <si>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</si>
  <si>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</si>
  <si>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</si>
  <si>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</si>
  <si>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</si>
  <si>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</si>
  <si>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</si>
  <si>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</si>
  <si>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</si>
  <si>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</si>
  <si>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</si>
  <si>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</si>
  <si>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</si>
  <si>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</si>
  <si>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</si>
  <si>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</si>
  <si>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</si>
  <si>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</si>
  <si>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</si>
  <si>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</si>
  <si>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</si>
  <si>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</si>
  <si>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</si>
  <si>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</si>
  <si>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</si>
  <si>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</si>
  <si>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</si>
  <si>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</si>
  <si>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</si>
  <si>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</si>
  <si>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</si>
  <si>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</si>
  <si>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</si>
  <si>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</si>
  <si>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</si>
  <si>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</si>
  <si>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</si>
  <si>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</si>
  <si>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</si>
  <si>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</si>
  <si>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</si>
  <si>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</si>
  <si>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</si>
  <si>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</si>
  <si>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</si>
  <si>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</si>
  <si>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</si>
  <si>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</si>
  <si>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</si>
  <si>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</si>
  <si>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</si>
  <si>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</si>
  <si>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</si>
  <si>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</si>
  <si>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</si>
  <si>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</si>
  <si>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</si>
  <si>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</si>
  <si>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</si>
  <si>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</si>
  <si>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</si>
  <si>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</si>
  <si>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</si>
  <si>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</si>
  <si>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</si>
  <si>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</si>
  <si>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</si>
  <si>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</si>
  <si>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</si>
  <si>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</si>
  <si>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</si>
  <si>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</si>
  <si>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</si>
  <si>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</si>
  <si>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</si>
  <si>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</si>
  <si>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</si>
  <si>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</si>
  <si>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</si>
  <si>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</si>
  <si>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</si>
  <si>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</si>
  <si>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</si>
  <si>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</si>
  <si>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</si>
  <si>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</si>
  <si>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</si>
  <si>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</si>
  <si>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</si>
  <si>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</si>
  <si>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</si>
  <si>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</si>
  <si>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</si>
  <si>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</si>
  <si>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</si>
  <si>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</si>
  <si>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</si>
  <si>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</si>
  <si>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</si>
  <si>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</si>
  <si>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</si>
  <si>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</si>
  <si>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</si>
  <si>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</si>
  <si>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</si>
  <si>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</si>
  <si>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</si>
  <si>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</si>
  <si>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</si>
  <si>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</si>
  <si>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</si>
  <si>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</si>
  <si>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</si>
  <si>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</si>
  <si>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</si>
  <si>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</si>
  <si>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</si>
  <si>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</si>
  <si>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</si>
  <si>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</si>
  <si>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</si>
  <si>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</si>
  <si>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</si>
  <si>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</si>
  <si>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</si>
  <si>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</si>
  <si>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</si>
  <si>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</si>
  <si>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</si>
  <si>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</si>
  <si>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</si>
  <si>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</si>
  <si>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</si>
  <si>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</si>
  <si>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</si>
  <si>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</si>
  <si>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</si>
  <si>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</si>
  <si>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</si>
  <si>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</si>
  <si>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</si>
  <si>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</si>
  <si>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</si>
  <si>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</si>
  <si>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</si>
  <si>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</si>
  <si>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</si>
  <si>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</si>
  <si>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</si>
  <si>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</si>
  <si>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</si>
  <si>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</si>
  <si>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</si>
  <si>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</si>
  <si>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</si>
  <si>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</si>
  <si>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</si>
  <si>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</si>
  <si>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</si>
  <si>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</si>
  <si>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</si>
  <si>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</si>
  <si>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</si>
  <si>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</si>
  <si>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</si>
  <si>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</si>
  <si>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</si>
  <si>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</si>
  <si>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</si>
  <si>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</si>
  <si>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</si>
  <si>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</si>
  <si>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</si>
  <si>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</si>
  <si>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</si>
  <si>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</si>
  <si>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</si>
  <si>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</si>
  <si>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</si>
  <si>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</si>
  <si>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</si>
  <si>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</si>
  <si>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</si>
  <si>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</si>
  <si>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</si>
  <si>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</si>
  <si>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</si>
  <si>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</si>
  <si>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</si>
  <si>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</si>
  <si>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</si>
  <si>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</si>
  <si>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</si>
  <si>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</si>
  <si>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</si>
  <si>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</si>
  <si>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</si>
  <si>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</si>
  <si>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</si>
  <si>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</si>
  <si>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</si>
  <si>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</si>
  <si>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</si>
  <si>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</si>
  <si>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</si>
  <si>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</si>
  <si>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</si>
  <si>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</si>
  <si>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</si>
  <si>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</si>
  <si>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</si>
  <si>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</si>
  <si>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</si>
  <si>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</si>
  <si>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</si>
  <si>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</si>
  <si>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</si>
  <si>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</si>
  <si>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</si>
  <si>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</si>
  <si>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</si>
  <si>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</si>
  <si>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</si>
  <si>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</si>
  <si>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</si>
  <si>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</si>
  <si>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</si>
  <si>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</si>
  <si>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</si>
  <si>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</si>
  <si>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</si>
  <si>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</si>
  <si>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</si>
  <si>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</si>
  <si>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</si>
  <si>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</si>
  <si>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</si>
  <si>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</si>
  <si>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</si>
  <si>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</si>
  <si>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</si>
  <si>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</si>
  <si>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</si>
  <si>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</si>
  <si>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</si>
  <si>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</si>
  <si>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</si>
  <si>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</si>
  <si>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</si>
  <si>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</si>
  <si>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</si>
  <si>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</si>
  <si>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</si>
  <si>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</si>
  <si>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</si>
  <si>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</si>
  <si>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</si>
  <si>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</si>
  <si>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</si>
  <si>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</si>
  <si>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</si>
  <si>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</si>
  <si>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</si>
  <si>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</si>
  <si>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</si>
  <si>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</si>
  <si>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</si>
  <si>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</si>
  <si>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</si>
  <si>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</si>
  <si>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</si>
  <si>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</si>
  <si>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</si>
  <si>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</si>
  <si>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</si>
  <si>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</si>
  <si>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</si>
  <si>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</si>
  <si>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</si>
  <si>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</si>
  <si>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</si>
  <si>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</si>
  <si>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</si>
  <si>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</si>
  <si>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</si>
  <si>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</si>
  <si>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</si>
  <si>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</si>
  <si>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</si>
  <si>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</si>
  <si>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</si>
  <si>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</si>
  <si>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</si>
  <si>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</si>
  <si>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</si>
  <si>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</si>
  <si>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</si>
  <si>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</si>
  <si>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</si>
  <si>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</si>
  <si>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</si>
  <si>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</si>
  <si>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</si>
  <si>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</si>
  <si>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</si>
  <si>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</si>
  <si>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</si>
  <si>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</si>
  <si>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</si>
  <si>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</si>
  <si>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</si>
  <si>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</si>
  <si>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</si>
  <si>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</si>
  <si>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</si>
  <si>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</si>
  <si>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</si>
  <si>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</si>
  <si>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</si>
  <si>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</si>
  <si>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</si>
  <si>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</si>
  <si>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</si>
  <si>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</si>
  <si>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</si>
  <si>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</si>
  <si>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</si>
  <si>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</si>
  <si>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</si>
  <si>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</si>
  <si>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</si>
  <si>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</si>
  <si>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</si>
  <si>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</si>
  <si>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</si>
  <si>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</si>
  <si>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</si>
  <si>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</si>
  <si>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</si>
  <si>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</si>
  <si>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</si>
  <si>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</si>
  <si>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</si>
  <si>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</si>
  <si>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</si>
  <si>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</si>
  <si>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</si>
  <si>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</si>
  <si>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</si>
  <si>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</si>
  <si>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</si>
  <si>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</si>
  <si>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</si>
  <si>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</si>
  <si>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</si>
  <si>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</si>
  <si>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</si>
  <si>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</si>
  <si>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</si>
  <si>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</si>
  <si>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</si>
  <si>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</si>
  <si>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</si>
  <si>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</si>
  <si>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</si>
  <si>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</si>
  <si>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</si>
  <si>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</si>
  <si>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</si>
  <si>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</si>
  <si>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</si>
  <si>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</si>
  <si>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</si>
  <si>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</si>
  <si>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</si>
  <si>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</si>
  <si>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</si>
  <si>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</si>
  <si>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</si>
  <si>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</si>
  <si>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</si>
  <si>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</si>
  <si>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</si>
  <si>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</si>
  <si>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</si>
  <si>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</si>
  <si>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</si>
  <si>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</si>
  <si>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</si>
  <si>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</si>
  <si>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</si>
  <si>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</si>
  <si>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</si>
  <si>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</si>
  <si>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</si>
  <si>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</si>
  <si>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</si>
  <si>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</si>
  <si>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</si>
  <si>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</si>
  <si>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</si>
  <si>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</si>
  <si>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</si>
  <si>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</si>
  <si>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</si>
  <si>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</si>
  <si>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</si>
  <si>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</si>
  <si>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</si>
  <si>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</si>
  <si>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</si>
  <si>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</si>
  <si>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</si>
  <si>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</si>
  <si>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</si>
  <si>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</si>
  <si>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</si>
  <si>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</si>
  <si>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</si>
  <si>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</si>
  <si>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</si>
  <si>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</si>
  <si>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</si>
  <si>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</si>
  <si>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</si>
  <si>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</si>
  <si>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</si>
  <si>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</si>
  <si>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</si>
  <si>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</si>
  <si>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</si>
  <si>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</si>
  <si>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</si>
  <si>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</si>
  <si>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</si>
  <si>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</si>
  <si>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</si>
  <si>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</si>
  <si>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</si>
  <si>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</si>
  <si>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</si>
  <si>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</si>
  <si>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</si>
  <si>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</si>
  <si>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</si>
  <si>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</si>
  <si>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</si>
  <si>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</si>
  <si>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</si>
  <si>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</si>
  <si>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</si>
  <si>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</si>
  <si>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</si>
  <si>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</si>
  <si>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</si>
  <si>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</si>
  <si>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</si>
  <si>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</si>
  <si>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</si>
  <si>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</si>
  <si>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</si>
  <si>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</si>
  <si>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</si>
  <si>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</si>
  <si>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</si>
  <si>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</si>
  <si>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</si>
  <si>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</si>
  <si>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</si>
  <si>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</si>
  <si>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</si>
  <si>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</si>
  <si>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</si>
  <si>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</si>
  <si>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</si>
  <si>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</si>
  <si>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</si>
  <si>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</si>
  <si>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</si>
  <si>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</si>
  <si>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</si>
  <si>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</si>
  <si>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</si>
  <si>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</si>
  <si>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</si>
  <si>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</si>
  <si>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</si>
  <si>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</si>
  <si>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</si>
  <si>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</si>
  <si>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</si>
  <si>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</si>
  <si>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</si>
  <si>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</si>
  <si>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</si>
  <si>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</si>
  <si>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</si>
  <si>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</si>
  <si>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</si>
  <si>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</si>
  <si>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</si>
  <si>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</si>
  <si>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</si>
  <si>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</si>
  <si>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</si>
  <si>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</si>
  <si>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</si>
  <si>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</si>
  <si>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</si>
  <si>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</si>
  <si>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</si>
  <si>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</si>
  <si>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</si>
  <si>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</si>
  <si>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</si>
  <si>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</si>
  <si>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</si>
  <si>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</si>
  <si>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</si>
  <si>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</si>
  <si>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</si>
  <si>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</si>
  <si>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</si>
  <si>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</si>
  <si>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</si>
  <si>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</si>
  <si>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</si>
  <si>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</si>
  <si>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</si>
  <si>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</si>
  <si>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</si>
  <si>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</si>
  <si>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</si>
  <si>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</si>
  <si>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</si>
  <si>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</si>
  <si>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</si>
  <si>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</si>
  <si>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</si>
  <si>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</si>
  <si>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</si>
  <si>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</si>
  <si>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</si>
  <si>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</si>
  <si>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</si>
  <si>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</si>
  <si>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</si>
  <si>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</si>
  <si>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</si>
  <si>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</si>
  <si>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</si>
  <si>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</si>
  <si>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</si>
  <si>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</si>
  <si>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</si>
  <si>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</si>
  <si>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</si>
  <si>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</si>
  <si>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</si>
  <si>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</si>
  <si>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</si>
  <si>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</si>
  <si>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</si>
  <si>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</si>
  <si>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</si>
  <si>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</si>
  <si>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</si>
  <si>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</si>
  <si>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</si>
  <si>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</si>
  <si>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</si>
  <si>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</si>
  <si>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</si>
  <si>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</si>
  <si>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</si>
  <si>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</si>
  <si>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</si>
  <si>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</si>
  <si>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</si>
  <si>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</si>
  <si>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</si>
  <si>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</si>
  <si>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</si>
  <si>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</si>
  <si>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</si>
  <si>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</si>
  <si>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</si>
  <si>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</si>
  <si>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</si>
  <si>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</si>
  <si>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</si>
  <si>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</si>
  <si>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</si>
  <si>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</si>
  <si>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</si>
  <si>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</si>
  <si>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</si>
  <si>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</si>
  <si>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</si>
  <si>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</si>
  <si>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</si>
  <si>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</si>
  <si>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</si>
  <si>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</si>
  <si>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</si>
  <si>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</si>
  <si>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</si>
  <si>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</si>
  <si>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</si>
  <si>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</si>
  <si>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</si>
  <si>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</si>
  <si>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</si>
  <si>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</si>
  <si>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</si>
  <si>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</si>
  <si>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</si>
  <si>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</si>
  <si>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</si>
  <si>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</si>
  <si>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</si>
  <si>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</si>
  <si>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</si>
  <si>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</si>
  <si>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</si>
  <si>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</si>
  <si>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</si>
  <si>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</si>
  <si>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</si>
  <si>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</si>
  <si>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</si>
  <si>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</si>
  <si>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</si>
  <si>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</si>
  <si>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</si>
  <si>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</si>
  <si>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</si>
  <si>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</si>
  <si>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</si>
  <si>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</si>
  <si>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</si>
  <si>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</si>
  <si>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</si>
  <si>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</si>
  <si>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</si>
  <si>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</si>
  <si>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</si>
  <si>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</si>
  <si>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</si>
  <si>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</si>
  <si>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</si>
  <si>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</si>
  <si>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</si>
  <si>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</si>
  <si>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</si>
  <si>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</si>
  <si>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</si>
  <si>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</si>
  <si>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</si>
  <si>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</si>
  <si>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</si>
  <si>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</si>
  <si>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</si>
  <si>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</si>
  <si>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</si>
  <si>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</si>
  <si>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</si>
  <si>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</si>
  <si>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</si>
  <si>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</si>
  <si>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</si>
  <si>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</si>
  <si>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</si>
  <si>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</si>
  <si>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</si>
  <si>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</si>
  <si>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</si>
  <si>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</si>
  <si>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</si>
  <si>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</si>
  <si>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</si>
  <si>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</si>
  <si>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</si>
  <si>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</si>
  <si>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</si>
  <si>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</si>
  <si>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</si>
  <si>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</si>
  <si>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</si>
  <si>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</si>
  <si>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</si>
  <si>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</si>
  <si>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</si>
  <si>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</si>
  <si>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</si>
  <si>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</si>
  <si>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</si>
  <si>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</si>
  <si>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</si>
  <si>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</si>
  <si>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</si>
  <si>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</si>
  <si>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</si>
  <si>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</si>
  <si>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</si>
  <si>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</si>
  <si>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</si>
  <si>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</si>
  <si>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</si>
  <si>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</si>
  <si>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</si>
  <si>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</si>
  <si>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</si>
  <si>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</si>
  <si>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</si>
  <si>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</si>
  <si>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</si>
  <si>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</si>
  <si>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</si>
  <si>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</si>
  <si>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</si>
  <si>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</si>
  <si>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</si>
  <si>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</si>
  <si>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</si>
  <si>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</si>
  <si>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</si>
  <si>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</si>
  <si>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</si>
  <si>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</si>
  <si>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</si>
  <si>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</si>
  <si>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</si>
  <si>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</si>
  <si>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</si>
  <si>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</si>
  <si>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</si>
  <si>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</si>
  <si>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</si>
  <si>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</si>
  <si>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</si>
  <si>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</si>
  <si>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</si>
  <si>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</si>
  <si>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</si>
  <si>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</si>
  <si>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</si>
  <si>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</si>
  <si>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</si>
  <si>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</si>
  <si>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</si>
  <si>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</si>
  <si>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</si>
  <si>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</si>
  <si>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</si>
  <si>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</si>
  <si>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</si>
  <si>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</si>
  <si>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</si>
  <si>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</si>
  <si>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</si>
  <si>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</si>
  <si>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</si>
  <si>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</si>
  <si>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</si>
  <si>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</si>
  <si>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</si>
  <si>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</si>
  <si>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</si>
  <si>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</si>
  <si>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</si>
  <si>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</si>
  <si>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</si>
  <si>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</si>
  <si>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</si>
  <si>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</si>
  <si>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</si>
  <si>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</si>
  <si>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</si>
  <si>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</si>
  <si>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</si>
  <si>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</si>
  <si>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</si>
  <si>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</si>
  <si>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</si>
  <si>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</si>
  <si>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</si>
  <si>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</si>
  <si>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</si>
  <si>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</si>
  <si>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</si>
  <si>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</si>
  <si>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</si>
  <si>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</si>
  <si>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</si>
  <si>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</si>
  <si>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</si>
  <si>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</si>
  <si>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</si>
  <si>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</si>
  <si>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</si>
  <si>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</si>
  <si>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</si>
  <si>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</si>
  <si>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</si>
  <si>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</si>
  <si>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</si>
  <si>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</si>
  <si>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</si>
  <si>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</si>
  <si>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</si>
  <si>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</si>
  <si>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</si>
  <si>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</si>
  <si>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</si>
  <si>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</si>
  <si>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</si>
  <si>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</si>
  <si>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</si>
  <si>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</si>
  <si>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</si>
  <si>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</si>
  <si>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</si>
  <si>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</si>
  <si>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</si>
  <si>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</si>
  <si>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</si>
  <si>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</si>
  <si>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</si>
  <si>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</si>
  <si>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</si>
  <si>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</si>
  <si>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</si>
  <si>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</si>
  <si>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</si>
  <si>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</si>
  <si>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</si>
  <si>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</si>
  <si>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</si>
  <si>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</si>
  <si>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</si>
  <si>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</si>
  <si>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</si>
  <si>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</si>
  <si>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</si>
  <si>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</si>
  <si>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</si>
  <si>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</si>
  <si>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</si>
  <si>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</si>
  <si>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</si>
  <si>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</si>
  <si>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</si>
  <si>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</si>
  <si>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</si>
  <si>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</si>
  <si>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</si>
  <si>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</si>
  <si>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</si>
  <si>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</si>
  <si>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</si>
  <si>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</si>
  <si>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</si>
  <si>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</si>
  <si>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</si>
  <si>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</si>
  <si>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</si>
  <si>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</si>
  <si>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</si>
  <si>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</si>
  <si>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</si>
  <si>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</si>
  <si>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</si>
  <si>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</si>
  <si>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</si>
  <si>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</si>
  <si>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</si>
  <si>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</si>
  <si>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</si>
  <si>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</si>
  <si>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</si>
  <si>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</si>
  <si>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</si>
  <si>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</si>
  <si>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</si>
  <si>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</si>
  <si>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</si>
  <si>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</si>
  <si>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</si>
  <si>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</si>
  <si>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</si>
  <si>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</si>
  <si>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</si>
  <si>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</si>
  <si>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</si>
  <si>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</si>
  <si>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</si>
  <si>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</si>
  <si>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</si>
  <si>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</si>
  <si>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</si>
  <si>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</si>
  <si>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</si>
  <si>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</si>
  <si>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</si>
  <si>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</si>
  <si>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</si>
  <si>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</si>
  <si>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</si>
  <si>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</si>
  <si>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</si>
  <si>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</si>
  <si>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</si>
  <si>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</si>
  <si>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</si>
  <si>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</si>
  <si>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</si>
  <si>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</si>
  <si>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</si>
  <si>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</si>
  <si>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</si>
  <si>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</si>
  <si>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</si>
  <si>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</si>
  <si>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</si>
  <si>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</si>
  <si>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</si>
  <si>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</si>
  <si>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</si>
  <si>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</si>
  <si>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</si>
  <si>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</si>
  <si>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</si>
  <si>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</si>
  <si>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</si>
  <si>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</si>
  <si>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</si>
  <si>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</si>
  <si>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</si>
  <si>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</si>
  <si>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</si>
  <si>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</si>
  <si>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</si>
  <si>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</si>
  <si>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</si>
  <si>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</si>
  <si>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</si>
  <si>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</si>
  <si>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</si>
  <si>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</si>
  <si>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</si>
  <si>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</si>
  <si>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</si>
  <si>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</si>
  <si>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</si>
  <si>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</si>
  <si>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</si>
  <si>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</si>
  <si>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</si>
  <si>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</si>
  <si>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</si>
  <si>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</si>
  <si>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</si>
  <si>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</si>
  <si>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</si>
  <si>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</si>
  <si>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</si>
  <si>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</si>
  <si>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</si>
  <si>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</si>
  <si>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</si>
  <si>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</si>
  <si>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</si>
  <si>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</si>
  <si>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</si>
  <si>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</si>
  <si>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</si>
  <si>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</si>
  <si>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</si>
  <si>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</si>
  <si>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</si>
  <si>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</si>
  <si>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</si>
  <si>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</si>
  <si>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</si>
  <si>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</si>
  <si>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</si>
  <si>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</si>
  <si>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</si>
  <si>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</si>
  <si>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</si>
  <si>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</si>
  <si>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</si>
  <si>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</si>
  <si>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</si>
  <si>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</si>
  <si>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</si>
  <si>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</si>
  <si>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</si>
  <si>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</si>
  <si>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</si>
  <si>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</si>
  <si>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</si>
  <si>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</si>
  <si>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</si>
  <si>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</si>
  <si>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</si>
  <si>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</si>
  <si>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</si>
  <si>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</si>
  <si>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</si>
  <si>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</si>
  <si>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</si>
  <si>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</si>
  <si>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</si>
  <si>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</si>
  <si>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</si>
  <si>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</si>
  <si>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</si>
  <si>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</si>
  <si>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</si>
  <si>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</si>
  <si>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</si>
  <si>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</si>
  <si>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</si>
  <si>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</si>
  <si>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</si>
  <si>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</si>
  <si>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</si>
  <si>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</si>
  <si>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</si>
  <si>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</si>
  <si>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</si>
  <si>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</si>
  <si>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</si>
  <si>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</si>
  <si>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</si>
  <si>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</si>
  <si>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</si>
  <si>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</si>
  <si>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</si>
  <si>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</si>
  <si>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</si>
  <si>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</si>
  <si>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</si>
  <si>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</si>
  <si>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</si>
  <si>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</si>
  <si>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</si>
  <si>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</si>
  <si>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</si>
  <si>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</si>
  <si>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</si>
  <si>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</si>
  <si>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</si>
  <si>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</si>
  <si>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</si>
  <si>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</si>
  <si>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</si>
  <si>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</si>
  <si>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</si>
  <si>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</si>
  <si>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</si>
  <si>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</si>
  <si>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</si>
  <si>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</si>
  <si>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</si>
  <si>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</si>
  <si>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</si>
  <si>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</si>
  <si>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</si>
  <si>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</si>
  <si>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</si>
  <si>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</si>
  <si>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</si>
  <si>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</si>
  <si>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</si>
  <si>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</si>
  <si>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</si>
  <si>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</si>
  <si>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</si>
  <si>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</si>
  <si>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</si>
  <si>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</si>
  <si>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</si>
  <si>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</si>
  <si>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</si>
  <si>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</si>
  <si>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</si>
  <si>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</si>
  <si>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</si>
  <si>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</si>
  <si>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</si>
  <si>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</si>
  <si>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</si>
  <si>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</si>
  <si>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</si>
  <si>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</si>
  <si>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</si>
  <si>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</si>
  <si>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</si>
  <si>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</si>
  <si>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</si>
  <si>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</si>
  <si>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</si>
  <si>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</si>
  <si>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</si>
  <si>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</si>
  <si>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</si>
  <si>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</si>
  <si>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</si>
  <si>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</si>
  <si>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</si>
  <si>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</si>
  <si>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</si>
  <si>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</si>
  <si>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</si>
  <si>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</si>
  <si>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</si>
  <si>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</si>
  <si>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</si>
  <si>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</si>
  <si>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</si>
  <si>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</si>
  <si>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</si>
  <si>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</si>
  <si>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</si>
  <si>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</si>
  <si>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</si>
  <si>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</si>
  <si>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</si>
  <si>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</si>
  <si>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</si>
  <si>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</si>
  <si>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</si>
  <si>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</si>
  <si>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</si>
  <si>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</si>
  <si>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</si>
  <si>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</si>
  <si>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</si>
  <si>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</si>
  <si>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</si>
  <si>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</si>
  <si>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</si>
  <si>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</si>
  <si>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</si>
  <si>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</si>
  <si>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</si>
  <si>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</si>
  <si>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</si>
  <si>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</si>
  <si>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</si>
  <si>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</si>
  <si>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</si>
  <si>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</si>
  <si>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</si>
  <si>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</si>
  <si>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</si>
  <si>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</si>
  <si>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</si>
  <si>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</si>
  <si>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</si>
  <si>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</si>
  <si>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</si>
  <si>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</si>
  <si>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</si>
  <si>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</si>
  <si>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</si>
  <si>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</si>
  <si>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</si>
  <si>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</si>
  <si>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</si>
  <si>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</si>
  <si>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</si>
  <si>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</si>
  <si>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</si>
  <si>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</si>
  <si>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</si>
  <si>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</si>
  <si>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</si>
  <si>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</si>
  <si>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</si>
  <si>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</si>
  <si>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</si>
  <si>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</si>
  <si>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</si>
  <si>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</si>
  <si>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</si>
  <si>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</si>
  <si>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</si>
  <si>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</si>
  <si>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</si>
  <si>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</si>
  <si>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</si>
  <si>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</si>
  <si>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</si>
  <si>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</si>
  <si>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</si>
  <si>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</si>
  <si>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</si>
  <si>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</si>
  <si>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</si>
  <si>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</si>
  <si>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</si>
  <si>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</si>
  <si>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</si>
  <si>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</si>
  <si>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</si>
  <si>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</si>
  <si>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</si>
  <si>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</si>
  <si>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</si>
  <si>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</si>
  <si>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</si>
  <si>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</si>
  <si>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</si>
  <si>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</si>
  <si>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</si>
  <si>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</si>
  <si>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</si>
  <si>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</si>
  <si>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</si>
  <si>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</si>
  <si>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</si>
  <si>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</si>
  <si>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</si>
  <si>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</si>
  <si>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</si>
  <si>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</si>
  <si>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</si>
  <si>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</si>
  <si>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</si>
  <si>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</si>
  <si>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</si>
  <si>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</si>
  <si>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</si>
  <si>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</si>
  <si>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</si>
  <si>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</si>
  <si>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</si>
  <si>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</si>
  <si>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</si>
  <si>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</si>
  <si>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</si>
  <si>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</si>
  <si>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</si>
  <si>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</si>
  <si>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</si>
  <si>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</si>
  <si>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</si>
  <si>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</si>
  <si>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</si>
  <si>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</si>
  <si>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</si>
  <si>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</si>
  <si>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</si>
  <si>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</si>
  <si>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</si>
  <si>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</si>
  <si>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</si>
  <si>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</si>
  <si>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</si>
  <si>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</si>
  <si>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</si>
  <si>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</si>
  <si>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</si>
  <si>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</si>
  <si>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</si>
  <si>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</si>
  <si>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</si>
  <si>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</si>
  <si>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</si>
  <si>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</si>
  <si>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</si>
  <si>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</si>
  <si>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</si>
  <si>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</si>
  <si>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</si>
  <si>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</si>
  <si>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</si>
  <si>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</si>
  <si>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</si>
  <si>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</si>
  <si>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</si>
  <si>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</si>
  <si>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</si>
  <si>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</si>
  <si>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</si>
  <si>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</si>
  <si>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</si>
  <si>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</si>
  <si>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</si>
  <si>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</si>
  <si>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</si>
  <si>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</si>
  <si>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</si>
  <si>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</si>
  <si>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</si>
  <si>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</si>
  <si>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</si>
  <si>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</si>
  <si>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</si>
  <si>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</si>
  <si>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</si>
  <si>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</si>
  <si>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</si>
  <si>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</si>
  <si>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</si>
  <si>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</si>
  <si>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</si>
  <si>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</si>
  <si>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</si>
  <si>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</si>
  <si>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</si>
  <si>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</si>
  <si>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</si>
  <si>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</si>
  <si>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</si>
  <si>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</si>
  <si>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</si>
  <si>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</si>
  <si>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</si>
  <si>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</si>
  <si>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</si>
  <si>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</si>
  <si>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</si>
  <si>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</si>
  <si>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</si>
  <si>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</si>
  <si>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</si>
  <si>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</si>
  <si>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</si>
  <si>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</si>
  <si>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</si>
  <si>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</si>
  <si>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</si>
  <si>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</si>
  <si>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</si>
  <si>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</si>
  <si>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</si>
  <si>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</si>
  <si>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</si>
  <si>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</si>
  <si>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</si>
  <si>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</si>
  <si>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</si>
  <si>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</si>
  <si>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</si>
  <si>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</si>
  <si>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</si>
  <si>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</si>
  <si>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</si>
  <si>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</si>
  <si>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</si>
  <si>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</si>
  <si>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</si>
  <si>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</si>
  <si>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</si>
  <si>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</si>
  <si>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</si>
  <si>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</si>
  <si>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</si>
  <si>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</si>
  <si>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</si>
  <si>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</si>
  <si>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</si>
  <si>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</si>
  <si>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</si>
  <si>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</si>
  <si>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</si>
  <si>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</si>
  <si>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</si>
  <si>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</si>
  <si>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</si>
  <si>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</si>
  <si>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</si>
  <si>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</si>
  <si>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</si>
  <si>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</si>
  <si>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</si>
  <si>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</si>
  <si>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</si>
  <si>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</si>
  <si>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</si>
  <si>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</si>
  <si>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</si>
  <si>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</si>
  <si>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</si>
  <si>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</si>
  <si>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</si>
  <si>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</si>
  <si>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</si>
  <si>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</si>
  <si>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</si>
  <si>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</si>
  <si>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</si>
  <si>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</si>
  <si>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</si>
  <si>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</si>
  <si>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</si>
  <si>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</si>
  <si>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</si>
  <si>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</si>
  <si>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</si>
  <si>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</si>
  <si>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</si>
  <si>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</si>
  <si>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</si>
  <si>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</si>
  <si>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</si>
  <si>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</si>
  <si>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</si>
  <si>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</si>
  <si>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</si>
  <si>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</si>
  <si>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</si>
  <si>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</si>
  <si>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</si>
  <si>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</si>
  <si>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</si>
  <si>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</si>
  <si>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</si>
  <si>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</si>
  <si>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</si>
  <si>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</si>
  <si>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</si>
  <si>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</si>
  <si>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</si>
  <si>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</si>
  <si>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</si>
  <si>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</si>
  <si>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</si>
  <si>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</si>
  <si>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</si>
  <si>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</si>
  <si>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</si>
  <si>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</si>
  <si>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</si>
  <si>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</si>
  <si>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</si>
  <si>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</si>
  <si>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</si>
  <si>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</si>
  <si>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</si>
  <si>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</si>
  <si>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</si>
  <si>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</si>
  <si>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</si>
  <si>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</si>
  <si>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</si>
  <si>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</si>
  <si>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</si>
  <si>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</si>
  <si>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</si>
  <si>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</si>
  <si>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</si>
  <si>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</si>
  <si>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</si>
  <si>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</si>
  <si>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</si>
  <si>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</si>
  <si>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</si>
  <si>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</si>
  <si>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</si>
  <si>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</si>
  <si>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</si>
  <si>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</si>
  <si>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</si>
  <si>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</si>
  <si>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</si>
  <si>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</si>
  <si>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</si>
  <si>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</si>
  <si>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</si>
  <si>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</si>
  <si>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</si>
  <si>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</si>
  <si>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</si>
  <si>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</si>
  <si>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</si>
  <si>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</si>
  <si>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</si>
  <si>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</si>
  <si>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</si>
  <si>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</si>
  <si>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</si>
  <si>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</si>
  <si>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</si>
  <si>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</si>
  <si>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</si>
  <si>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</si>
  <si>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</si>
  <si>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</si>
  <si>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</si>
  <si>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</si>
  <si>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</si>
  <si>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</si>
  <si>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</si>
  <si>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</si>
  <si>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</si>
  <si>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</si>
  <si>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</si>
  <si>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</si>
  <si>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</si>
  <si>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</si>
  <si>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</si>
  <si>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</si>
  <si>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</si>
  <si>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</si>
  <si>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</si>
  <si>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</si>
  <si>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</si>
  <si>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</si>
  <si>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</si>
  <si>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</si>
  <si>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</si>
  <si>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</si>
  <si>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</si>
  <si>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</si>
  <si>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</si>
  <si>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</si>
  <si>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</si>
  <si>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</si>
  <si>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</si>
  <si>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</si>
  <si>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</si>
  <si>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</si>
  <si>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</si>
  <si>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</si>
  <si>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</si>
  <si>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</si>
  <si>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</si>
  <si>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</si>
  <si>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</si>
  <si>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</si>
  <si>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</si>
  <si>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</si>
  <si>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</si>
  <si>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</si>
  <si>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</si>
  <si>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</si>
  <si>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</si>
  <si>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</si>
  <si>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</si>
  <si>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</si>
  <si>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</si>
  <si>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</si>
  <si>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</si>
  <si>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</si>
  <si>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</si>
  <si>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</si>
  <si>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</si>
  <si>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</si>
  <si>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</si>
  <si>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</si>
  <si>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</si>
  <si>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</si>
  <si>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</si>
  <si>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</si>
  <si>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</si>
  <si>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</si>
  <si>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</si>
  <si>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</si>
  <si>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</si>
  <si>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</si>
  <si>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</si>
  <si>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</si>
  <si>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</si>
  <si>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</si>
  <si>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</si>
  <si>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</si>
  <si>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</si>
  <si>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</si>
  <si>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</si>
  <si>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</si>
  <si>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</si>
  <si>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</si>
  <si>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</si>
  <si>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</si>
  <si>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</si>
  <si>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</si>
  <si>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</si>
  <si>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</si>
  <si>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</si>
  <si>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</si>
  <si>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</si>
  <si>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</si>
  <si>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</si>
  <si>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</si>
  <si>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</si>
  <si>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</si>
  <si>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</si>
  <si>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</si>
  <si>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</si>
  <si>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</si>
  <si>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</si>
  <si>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</si>
  <si>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</si>
  <si>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</si>
  <si>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</si>
  <si>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</si>
  <si>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</si>
  <si>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</si>
  <si>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</si>
  <si>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</si>
  <si>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</si>
  <si>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</si>
  <si>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</si>
  <si>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</si>
  <si>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</si>
  <si>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</si>
  <si>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</si>
  <si>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</si>
  <si>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</si>
  <si>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</si>
  <si>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</si>
  <si>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</si>
  <si>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</si>
  <si>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</si>
  <si>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</si>
  <si>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</si>
  <si>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</si>
  <si>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</si>
  <si>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</si>
  <si>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</si>
  <si>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</si>
  <si>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</si>
  <si>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</si>
  <si>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</si>
  <si>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</si>
  <si>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</si>
  <si>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</si>
  <si>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</si>
  <si>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</si>
  <si>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</si>
  <si>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</si>
  <si>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</si>
  <si>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</si>
  <si>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</si>
  <si>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</si>
  <si>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</si>
  <si>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</si>
  <si>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</si>
  <si>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</si>
  <si>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</si>
  <si>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</si>
  <si>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</si>
  <si>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</si>
  <si>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</si>
  <si>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</si>
  <si>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</si>
  <si>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</si>
  <si>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</si>
  <si>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</si>
  <si>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</si>
  <si>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</si>
  <si>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</si>
  <si>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</si>
  <si>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</si>
  <si>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</si>
  <si>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</si>
  <si>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</si>
  <si>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</si>
  <si>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</si>
  <si>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</si>
  <si>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</si>
  <si>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</si>
  <si>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</si>
  <si>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</si>
  <si>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</si>
  <si>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</si>
  <si>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</si>
  <si>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</si>
  <si>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</si>
  <si>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</si>
  <si>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</si>
  <si>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</si>
  <si>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</si>
  <si>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</si>
  <si>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</si>
  <si>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</si>
  <si>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</si>
  <si>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</si>
  <si>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</si>
  <si>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</si>
  <si>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</si>
  <si>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</si>
  <si>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</si>
  <si>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</si>
  <si>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</si>
  <si>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</si>
  <si>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</si>
  <si>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</si>
  <si>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</si>
  <si>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</si>
  <si>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</si>
  <si>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</si>
  <si>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</si>
  <si>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</si>
  <si>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</si>
  <si>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</si>
  <si>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</si>
  <si>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</si>
  <si>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</si>
  <si>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</si>
  <si>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</si>
  <si>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</si>
  <si>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</si>
  <si>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</si>
  <si>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</si>
  <si>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</si>
  <si>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</si>
  <si>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</si>
  <si>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</si>
  <si>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</si>
  <si>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</si>
  <si>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</si>
  <si>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</si>
  <si>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</si>
  <si>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</si>
  <si>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</si>
  <si>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</si>
  <si>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</si>
  <si>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</si>
  <si>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</si>
  <si>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</si>
  <si>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</si>
  <si>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</si>
  <si>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</si>
  <si>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</si>
  <si>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</si>
  <si>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</si>
  <si>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</si>
  <si>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</si>
  <si>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</si>
  <si>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</si>
  <si>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</si>
  <si>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</si>
  <si>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</si>
  <si>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</si>
  <si>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</si>
  <si>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</si>
  <si>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</si>
  <si>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</si>
  <si>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</si>
  <si>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</si>
  <si>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</si>
  <si>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</si>
  <si>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</si>
  <si>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</si>
  <si>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</si>
  <si>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</si>
  <si>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</si>
  <si>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</si>
  <si>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</si>
  <si>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</si>
  <si>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</si>
  <si>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</si>
  <si>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</si>
  <si>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</si>
  <si>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</si>
  <si>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</si>
  <si>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</si>
  <si>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</si>
  <si>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</si>
  <si>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</si>
  <si>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</si>
  <si>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</si>
  <si>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</si>
  <si>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</si>
  <si>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</si>
  <si>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</si>
  <si>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</si>
  <si>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</si>
  <si>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</si>
  <si>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</si>
  <si>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</si>
  <si>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</si>
  <si>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</si>
  <si>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</si>
  <si>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</si>
  <si>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</si>
  <si>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</si>
  <si>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</si>
  <si>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</si>
  <si>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</si>
  <si>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</si>
  <si>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</si>
  <si>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</si>
  <si>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</si>
  <si>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</si>
  <si>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</si>
  <si>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</si>
  <si>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</si>
  <si>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</si>
  <si>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</si>
  <si>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</si>
  <si>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</si>
  <si>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</si>
  <si>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</si>
  <si>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</si>
  <si>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</si>
  <si>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</si>
  <si>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</si>
  <si>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</si>
  <si>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</si>
  <si>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</si>
  <si>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</si>
  <si>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</si>
  <si>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</si>
  <si>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</si>
  <si>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</si>
  <si>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</si>
  <si>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</si>
  <si>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</si>
  <si>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</si>
  <si>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</si>
  <si>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</si>
  <si>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</si>
  <si>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</si>
  <si>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</si>
  <si>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</si>
  <si>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</si>
  <si>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</si>
  <si>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</si>
  <si>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</si>
  <si>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</si>
  <si>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</si>
  <si>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</si>
  <si>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</si>
  <si>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</si>
  <si>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</si>
  <si>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</si>
  <si>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</si>
  <si>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</si>
  <si>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</si>
  <si>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</si>
  <si>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</si>
  <si>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</si>
  <si>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</si>
  <si>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</si>
  <si>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</si>
  <si>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</si>
  <si>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</si>
  <si>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</si>
  <si>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</si>
  <si>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</si>
  <si>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</si>
  <si>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</si>
  <si>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</si>
  <si>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</si>
  <si>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</si>
  <si>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</si>
  <si>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</si>
  <si>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</si>
  <si>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</si>
  <si>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</si>
  <si>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</si>
  <si>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</si>
  <si>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</si>
  <si>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</si>
  <si>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</si>
  <si>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</si>
  <si>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</si>
  <si>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</si>
  <si>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</si>
  <si>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</si>
  <si>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</si>
  <si>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</si>
  <si>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</si>
  <si>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</si>
  <si>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</si>
  <si>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</si>
  <si>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</si>
  <si>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</si>
  <si>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</si>
  <si>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</si>
  <si>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</si>
  <si>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</si>
  <si>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</si>
  <si>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</si>
  <si>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</si>
  <si>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</si>
  <si>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</si>
  <si>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</si>
  <si>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</si>
  <si>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</si>
  <si>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</si>
  <si>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</si>
  <si>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</si>
  <si>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</si>
  <si>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</si>
  <si>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</si>
  <si>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</si>
  <si>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</si>
  <si>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</si>
  <si>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</si>
  <si>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</si>
  <si>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</si>
  <si>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</si>
  <si>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</si>
  <si>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</si>
  <si>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</si>
  <si>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</si>
  <si>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</si>
  <si>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</si>
  <si>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</si>
  <si>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</si>
  <si>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</si>
  <si>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</si>
  <si>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</si>
  <si>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</si>
  <si>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</si>
  <si>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</si>
  <si>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</si>
  <si>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</si>
  <si>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</si>
  <si>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</si>
  <si>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</si>
  <si>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</si>
  <si>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</si>
  <si>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</si>
  <si>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</si>
  <si>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</si>
  <si>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</si>
  <si>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</si>
  <si>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</si>
  <si>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</si>
  <si>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</si>
  <si>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</si>
  <si>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</si>
  <si>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</si>
  <si>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</si>
  <si>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</si>
  <si>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</si>
  <si>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</si>
  <si>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</si>
  <si>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</si>
  <si>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</si>
  <si>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</si>
  <si>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</si>
  <si>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</si>
  <si>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</si>
  <si>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</si>
  <si>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</si>
  <si>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</si>
  <si>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</si>
  <si>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</si>
  <si>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</si>
  <si>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</si>
  <si>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</si>
  <si>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</si>
  <si>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</si>
  <si>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</si>
  <si>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</si>
  <si>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</si>
  <si>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</si>
  <si>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</si>
  <si>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</si>
  <si>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</si>
  <si>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</si>
  <si>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</si>
  <si>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</si>
  <si>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</si>
  <si>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</si>
  <si>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</si>
  <si>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</si>
  <si>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</si>
  <si>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</si>
  <si>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</si>
  <si>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</si>
  <si>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</si>
  <si>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</si>
  <si>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</si>
  <si>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</si>
  <si>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</si>
  <si>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</si>
  <si>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</si>
  <si>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</si>
  <si>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</si>
  <si>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</si>
  <si>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</si>
  <si>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</si>
  <si>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</si>
  <si>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</si>
  <si>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</si>
  <si>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</si>
  <si>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</si>
  <si>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</si>
  <si>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</si>
  <si>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</si>
  <si>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</si>
  <si>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</si>
  <si>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</si>
  <si>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</si>
  <si>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</si>
  <si>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</si>
  <si>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</si>
  <si>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</si>
  <si>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</si>
  <si>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</si>
  <si>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</si>
  <si>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</si>
  <si>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</si>
  <si>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</si>
  <si>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</si>
  <si>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</si>
  <si>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</si>
  <si>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</si>
  <si>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</si>
  <si>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</si>
  <si>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</si>
  <si>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</si>
  <si>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</si>
  <si>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</si>
  <si>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</si>
  <si>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</si>
  <si>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</si>
  <si>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</si>
  <si>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</si>
  <si>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</si>
  <si>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</si>
  <si>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</si>
  <si>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</si>
  <si>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</si>
  <si>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</si>
  <si>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</si>
  <si>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</si>
  <si>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</si>
  <si>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</si>
  <si>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</si>
  <si>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</si>
  <si>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</si>
  <si>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</si>
  <si>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</si>
  <si>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</si>
  <si>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</si>
  <si>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</si>
  <si>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</si>
  <si>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</si>
  <si>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</si>
  <si>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</si>
  <si>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</si>
  <si>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</si>
  <si>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</si>
  <si>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</si>
  <si>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</si>
  <si>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</si>
  <si>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</si>
  <si>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</si>
  <si>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</si>
  <si>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</si>
  <si>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</si>
  <si>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</si>
  <si>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</si>
  <si>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</si>
  <si>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</si>
  <si>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</si>
  <si>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</si>
  <si>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</si>
  <si>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</si>
  <si>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</si>
  <si>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</si>
  <si>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</si>
  <si>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</si>
  <si>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</si>
  <si>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</si>
  <si>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</si>
  <si>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</si>
  <si>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</si>
  <si>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</si>
  <si>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</si>
  <si>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</si>
  <si>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</si>
  <si>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</si>
  <si>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</si>
  <si>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</si>
  <si>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</si>
  <si>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</si>
  <si>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</si>
  <si>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</si>
  <si>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</si>
  <si>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</si>
  <si>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</si>
  <si>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</si>
  <si>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</si>
  <si>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</si>
  <si>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</si>
  <si>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</si>
  <si>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</si>
  <si>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</si>
  <si>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</si>
  <si>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</si>
  <si>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</si>
  <si>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</si>
  <si>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</si>
  <si>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</si>
  <si>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</si>
  <si>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</si>
  <si>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</si>
  <si>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</si>
  <si>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</si>
  <si>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</si>
  <si>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</si>
  <si>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</si>
  <si>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</si>
  <si>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</si>
  <si>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</si>
  <si>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</si>
  <si>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</si>
  <si>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</si>
  <si>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</si>
  <si>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</si>
  <si>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</si>
  <si>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</si>
  <si>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</si>
  <si>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</si>
  <si>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</si>
  <si>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</si>
  <si>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</si>
  <si>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</si>
  <si>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</si>
  <si>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</si>
  <si>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</si>
  <si>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</si>
  <si>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</si>
  <si>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</si>
  <si>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</si>
  <si>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</si>
  <si>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</si>
  <si>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</si>
  <si>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</si>
  <si>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</si>
  <si>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</si>
  <si>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</si>
  <si>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</si>
  <si>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</si>
  <si>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</si>
  <si>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</si>
  <si>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</si>
  <si>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</si>
  <si>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</si>
  <si>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</si>
  <si>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</si>
  <si>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</si>
  <si>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</si>
  <si>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</si>
  <si>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</si>
  <si>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</si>
  <si>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</si>
  <si>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</si>
  <si>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</si>
  <si>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</si>
  <si>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</si>
  <si>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</si>
  <si>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</si>
  <si>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</si>
  <si>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</si>
  <si>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</si>
  <si>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</si>
  <si>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</si>
  <si>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</si>
  <si>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</si>
  <si>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</si>
  <si>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</si>
  <si>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</si>
  <si>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</si>
  <si>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</si>
  <si>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</si>
  <si>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</si>
  <si>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</si>
  <si>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</si>
  <si>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</si>
  <si>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</si>
  <si>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</si>
  <si>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</si>
  <si>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</si>
  <si>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</si>
  <si>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</si>
  <si>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</si>
  <si>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</si>
  <si>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</si>
  <si>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</si>
  <si>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</si>
  <si>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</si>
  <si>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</si>
  <si>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</si>
  <si>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</si>
  <si>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</si>
  <si>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</si>
  <si>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</si>
  <si>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</si>
  <si>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</si>
  <si>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</si>
  <si>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</si>
  <si>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</si>
  <si>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</si>
  <si>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</si>
  <si>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</si>
  <si>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</si>
  <si>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</si>
  <si>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</si>
  <si>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</si>
  <si>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</si>
  <si>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</si>
  <si>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</si>
  <si>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</si>
  <si>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</si>
  <si>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</si>
  <si>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</si>
  <si>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</si>
  <si>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</si>
  <si>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</si>
  <si>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</si>
  <si>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</si>
  <si>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</si>
  <si>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</si>
  <si>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</si>
  <si>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</si>
  <si>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</si>
  <si>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</si>
  <si>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</si>
  <si>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</si>
  <si>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</si>
  <si>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</si>
  <si>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</si>
  <si>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</si>
  <si>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</si>
  <si>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</si>
  <si>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</si>
  <si>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</si>
  <si>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</si>
  <si>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</si>
  <si>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</si>
  <si>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</si>
  <si>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</si>
  <si>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</si>
  <si>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</si>
  <si>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</si>
  <si>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</si>
  <si>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</si>
  <si>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</si>
  <si>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</si>
  <si>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</si>
  <si>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</si>
  <si>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</si>
  <si>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</si>
  <si>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</si>
  <si>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</si>
  <si>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</si>
  <si>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</si>
  <si>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</si>
  <si>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</si>
  <si>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</si>
  <si>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</si>
  <si>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</si>
  <si>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</si>
  <si>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</si>
  <si>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</si>
  <si>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</si>
  <si>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</si>
  <si>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</si>
  <si>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</si>
  <si>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</si>
  <si>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</si>
  <si>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</si>
  <si>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</si>
  <si>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</si>
  <si>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</si>
  <si>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</si>
  <si>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</si>
  <si>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</si>
  <si>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</si>
  <si>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</si>
  <si>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</si>
  <si>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</si>
  <si>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</si>
  <si>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</si>
  <si>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</si>
  <si>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</si>
  <si>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</si>
  <si>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</si>
  <si>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</si>
  <si>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</si>
  <si>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</si>
  <si>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</si>
  <si>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</si>
  <si>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</si>
  <si>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</si>
  <si>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</si>
  <si>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</si>
  <si>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</si>
  <si>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</si>
  <si>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</si>
  <si>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</si>
  <si>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</si>
  <si>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</si>
  <si>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</si>
  <si>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</si>
  <si>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</si>
  <si>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</si>
  <si>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</si>
  <si>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</si>
  <si>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</si>
  <si>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</si>
  <si>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</si>
  <si>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</si>
  <si>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</si>
  <si>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</si>
  <si>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</si>
  <si>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</si>
  <si>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</si>
  <si>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</si>
  <si>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</si>
  <si>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</si>
  <si>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</si>
  <si>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</si>
  <si>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</si>
  <si>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</si>
  <si>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</si>
  <si>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</si>
  <si>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</si>
  <si>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</si>
  <si>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</si>
  <si>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</si>
  <si>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</si>
  <si>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</si>
  <si>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</si>
  <si>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</si>
  <si>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</si>
  <si>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</si>
  <si>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</si>
  <si>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</si>
  <si>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</si>
  <si>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</si>
  <si>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</si>
  <si>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</si>
  <si>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</si>
  <si>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</si>
  <si>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</si>
  <si>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</si>
  <si>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</si>
  <si>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</si>
  <si>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</si>
  <si>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</si>
  <si>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</si>
  <si>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</si>
  <si>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</si>
  <si>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</si>
  <si>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</si>
  <si>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</si>
  <si>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</si>
  <si>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</si>
  <si>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</si>
  <si>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</si>
  <si>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</si>
  <si>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</si>
  <si>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</si>
  <si>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</si>
  <si>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</si>
  <si>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</si>
  <si>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</si>
  <si>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</si>
  <si>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</si>
  <si>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</si>
  <si>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</si>
  <si>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</si>
  <si>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</si>
  <si>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</si>
  <si>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</si>
  <si>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</si>
  <si>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</si>
  <si>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</si>
  <si>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</si>
  <si>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</si>
  <si>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</si>
  <si>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</si>
  <si>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</si>
  <si>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</si>
  <si>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</si>
  <si>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</si>
  <si>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</si>
  <si>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</si>
  <si>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</si>
  <si>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</si>
  <si>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</si>
  <si>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</si>
  <si>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</si>
  <si>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</si>
  <si>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</si>
  <si>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</si>
  <si>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</si>
  <si>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</si>
  <si>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</si>
  <si>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</si>
  <si>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</si>
  <si>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</si>
  <si>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</si>
  <si>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</si>
  <si>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</si>
  <si>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</si>
  <si>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</si>
  <si>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</si>
  <si>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</si>
  <si>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</si>
  <si>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</si>
  <si>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</si>
  <si>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</si>
  <si>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</si>
  <si>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</si>
  <si>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</si>
  <si>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</si>
  <si>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</si>
  <si>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</si>
  <si>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</si>
  <si>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</si>
  <si>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</si>
  <si>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</si>
  <si>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</si>
  <si>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</si>
  <si>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</si>
  <si>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</si>
  <si>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</si>
  <si>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</si>
  <si>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</si>
  <si>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</si>
  <si>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</si>
  <si>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</si>
  <si>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</si>
  <si>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</si>
  <si>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</si>
  <si>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</si>
  <si>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</si>
  <si>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</si>
  <si>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</si>
  <si>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</si>
  <si>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</si>
  <si>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</si>
  <si>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</si>
  <si>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</si>
  <si>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</si>
  <si>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</si>
  <si>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</si>
  <si>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</si>
  <si>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</si>
  <si>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</si>
  <si>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</si>
  <si>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</si>
  <si>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</si>
  <si>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</si>
  <si>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</si>
  <si>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</si>
  <si>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</si>
  <si>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</si>
  <si>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</si>
  <si>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</si>
  <si>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</si>
  <si>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</si>
  <si>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</si>
  <si>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</si>
  <si>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</si>
  <si>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</si>
  <si>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</si>
  <si>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</si>
  <si>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</si>
  <si>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</si>
  <si>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</si>
  <si>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</si>
  <si>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</si>
  <si>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</si>
  <si>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</si>
  <si>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</si>
  <si>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</si>
  <si>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</si>
  <si>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</si>
  <si>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</si>
  <si>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</si>
  <si>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</si>
  <si>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</si>
  <si>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</si>
  <si>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</si>
  <si>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</si>
  <si>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</si>
  <si>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</si>
  <si>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</si>
  <si>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</si>
  <si>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</si>
  <si>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</si>
  <si>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</si>
  <si>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</si>
  <si>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</si>
  <si>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</si>
  <si>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</si>
  <si>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</si>
  <si>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</si>
  <si>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</si>
  <si>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</si>
  <si>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</si>
  <si>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</si>
  <si>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</si>
  <si>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</si>
  <si>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</si>
  <si>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</si>
  <si>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</si>
  <si>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</si>
  <si>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</si>
  <si>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</si>
  <si>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</si>
  <si>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</si>
  <si>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</si>
  <si>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</si>
  <si>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</si>
  <si>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</si>
  <si>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</si>
  <si>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</si>
  <si>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</si>
  <si>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</si>
  <si>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</si>
  <si>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</si>
  <si>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</si>
  <si>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</si>
  <si>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</si>
  <si>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</si>
  <si>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</si>
  <si>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</si>
  <si>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</si>
  <si>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</si>
  <si>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</si>
  <si>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</si>
  <si>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</si>
  <si>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</si>
  <si>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</si>
  <si>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</si>
  <si>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</si>
  <si>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</si>
  <si>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</si>
  <si>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</si>
  <si>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</si>
  <si>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</si>
  <si>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</si>
  <si>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</si>
  <si>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</si>
  <si>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</si>
  <si>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</si>
  <si>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</si>
  <si>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</si>
  <si>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</si>
  <si>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</si>
  <si>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</si>
  <si>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</si>
  <si>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</si>
  <si>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</si>
  <si>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</si>
  <si>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</si>
  <si>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</si>
  <si>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</si>
  <si>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</si>
  <si>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</si>
  <si>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</si>
  <si>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</si>
  <si>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</si>
  <si>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</si>
  <si>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</si>
  <si>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</si>
  <si>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</si>
  <si>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</si>
  <si>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</si>
  <si>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</si>
  <si>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</si>
  <si>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</si>
  <si>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</si>
  <si>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</si>
  <si>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</si>
  <si>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</si>
  <si>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</si>
  <si>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</si>
  <si>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</si>
  <si>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</si>
  <si>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</si>
  <si>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</si>
  <si>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</si>
  <si>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</si>
  <si>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</si>
  <si>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</si>
  <si>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</si>
  <si>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</si>
  <si>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</si>
  <si>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</si>
  <si>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</si>
  <si>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</si>
  <si>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</si>
  <si>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</si>
  <si>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</si>
  <si>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</si>
  <si>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</si>
  <si>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</si>
  <si>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</si>
  <si>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</si>
  <si>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</si>
  <si>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</si>
  <si>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</si>
  <si>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</si>
  <si>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</si>
  <si>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</si>
  <si>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</si>
  <si>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</si>
  <si>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</si>
  <si>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</si>
  <si>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</si>
  <si>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</si>
  <si>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</si>
  <si>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</si>
  <si>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</si>
  <si>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</si>
  <si>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</si>
  <si>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</si>
  <si>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</si>
  <si>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</si>
  <si>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</si>
  <si>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</si>
  <si>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</si>
  <si>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</si>
  <si>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</si>
  <si>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</si>
  <si>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</si>
  <si>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</si>
  <si>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</si>
  <si>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</si>
  <si>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</si>
  <si>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</si>
  <si>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</si>
  <si>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</si>
  <si>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</si>
  <si>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</si>
  <si>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</si>
  <si>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</si>
  <si>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</si>
  <si>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</si>
  <si>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</si>
  <si>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</si>
  <si>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</si>
  <si>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</si>
  <si>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</si>
  <si>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</si>
  <si>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</si>
  <si>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</si>
  <si>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</si>
  <si>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</si>
  <si>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</si>
  <si>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</si>
  <si>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</si>
  <si>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</si>
  <si>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</si>
  <si>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</si>
  <si>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</si>
  <si>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</si>
  <si>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</si>
  <si>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</si>
  <si>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</si>
  <si>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</si>
  <si>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</si>
  <si>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</si>
  <si>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</si>
  <si>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</si>
  <si>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</si>
  <si>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</si>
  <si>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</si>
  <si>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</si>
  <si>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</si>
  <si>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</si>
  <si>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</si>
  <si>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</si>
  <si>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</si>
  <si>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</si>
  <si>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</si>
  <si>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</si>
  <si>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</si>
  <si>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</si>
  <si>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</si>
  <si>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</si>
  <si>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</si>
  <si>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</si>
  <si>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</si>
  <si>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</si>
  <si>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</si>
  <si>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</si>
  <si>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</si>
  <si>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</si>
  <si>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</si>
  <si>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</si>
  <si>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</si>
  <si>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</si>
  <si>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</si>
  <si>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</si>
  <si>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</si>
  <si>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</si>
  <si>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</si>
  <si>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</si>
  <si>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</si>
  <si>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</si>
  <si>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</si>
  <si>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</si>
  <si>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</si>
  <si>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</si>
  <si>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</si>
  <si>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</si>
  <si>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</si>
  <si>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</si>
  <si>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</si>
  <si>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</si>
  <si>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</si>
  <si>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</si>
  <si>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</si>
  <si>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</si>
  <si>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</si>
  <si>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</si>
  <si>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</si>
  <si>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</si>
  <si>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</si>
  <si>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</si>
  <si>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</si>
  <si>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</si>
  <si>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</si>
  <si>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</si>
  <si>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</si>
  <si>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</si>
  <si>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</si>
  <si>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</si>
  <si>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</si>
  <si>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</si>
  <si>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</si>
  <si>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</si>
  <si>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</si>
  <si>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</si>
  <si>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</si>
  <si>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</si>
  <si>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</si>
  <si>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</si>
  <si>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</si>
  <si>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</si>
  <si>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</si>
  <si>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</si>
  <si>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</si>
  <si>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</si>
  <si>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</si>
  <si>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</si>
  <si>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</si>
  <si>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</si>
  <si>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</si>
  <si>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</si>
  <si>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</si>
  <si>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</si>
  <si>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</si>
  <si>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</si>
  <si>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</si>
  <si>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</si>
  <si>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</si>
  <si>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</si>
  <si>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</si>
  <si>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</si>
  <si>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</si>
  <si>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</si>
  <si>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</si>
  <si>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</si>
  <si>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</si>
  <si>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</si>
  <si>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</si>
  <si>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</si>
  <si>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</si>
  <si>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</si>
  <si>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</si>
  <si>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</si>
  <si>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</si>
  <si>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</si>
  <si>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</si>
  <si>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</si>
  <si>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</si>
  <si>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</si>
  <si>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</si>
  <si>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</si>
  <si>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</si>
  <si>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</si>
  <si>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</si>
  <si>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</si>
  <si>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</si>
  <si>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</si>
  <si>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</si>
  <si>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</si>
  <si>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</si>
  <si>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</si>
  <si>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</si>
  <si>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</si>
  <si>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</si>
  <si>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</si>
  <si>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</si>
  <si>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</si>
  <si>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</si>
  <si>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</si>
  <si>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</si>
  <si>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</si>
  <si>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</si>
  <si>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</si>
  <si>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</si>
  <si>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</si>
  <si>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</si>
  <si>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</si>
  <si>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</si>
  <si>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</si>
  <si>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</si>
  <si>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</si>
  <si>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</si>
  <si>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</si>
  <si>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</si>
  <si>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</si>
  <si>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</si>
  <si>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</si>
  <si>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</si>
  <si>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</si>
  <si>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</si>
  <si>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</si>
  <si>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</si>
  <si>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</si>
  <si>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</si>
  <si>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</si>
  <si>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</si>
  <si>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</si>
  <si>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</si>
  <si>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</si>
  <si>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</si>
  <si>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</si>
  <si>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</si>
  <si>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</si>
  <si>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</si>
  <si>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</si>
  <si>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</si>
  <si>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</si>
  <si>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</si>
  <si>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</si>
  <si>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</si>
  <si>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</si>
  <si>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</si>
  <si>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</si>
  <si>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</si>
  <si>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</si>
  <si>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</si>
  <si>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</si>
  <si>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</si>
  <si>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</si>
  <si>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</si>
  <si>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</si>
  <si>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</si>
  <si>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</si>
  <si>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</si>
  <si>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</si>
  <si>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</si>
  <si>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</si>
  <si>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</si>
  <si>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</si>
  <si>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</si>
  <si>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</si>
  <si>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</si>
  <si>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</si>
  <si>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</si>
  <si>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</si>
  <si>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</si>
  <si>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</si>
  <si>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</si>
  <si>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</si>
  <si>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</si>
  <si>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</si>
  <si>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</si>
  <si>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</si>
  <si>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</si>
  <si>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</si>
  <si>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</si>
  <si>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</si>
  <si>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</si>
  <si>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</si>
  <si>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</si>
  <si>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</si>
  <si>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</si>
  <si>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</si>
  <si>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</si>
  <si>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</si>
  <si>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</si>
  <si>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</si>
  <si>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</si>
  <si>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</si>
  <si>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</si>
  <si>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</si>
  <si>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</si>
  <si>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</si>
  <si>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</si>
  <si>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</si>
  <si>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</si>
  <si>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</si>
  <si>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</si>
  <si>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</si>
  <si>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</si>
  <si>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</si>
  <si>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</si>
  <si>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</si>
  <si>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</si>
  <si>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</si>
  <si>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</si>
  <si>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</si>
  <si>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</si>
  <si>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</si>
  <si>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</si>
  <si>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</si>
  <si>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</si>
  <si>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</si>
  <si>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</si>
  <si>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</si>
  <si>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</si>
  <si>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</si>
  <si>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</si>
  <si>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</si>
  <si>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</si>
  <si>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</si>
  <si>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</si>
  <si>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</si>
  <si>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</si>
  <si>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</si>
  <si>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</si>
  <si>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</si>
  <si>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</si>
  <si>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</si>
  <si>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</si>
  <si>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</si>
  <si>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</si>
  <si>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</si>
  <si>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</si>
  <si>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</si>
  <si>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</si>
  <si>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</si>
  <si>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</si>
  <si>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</si>
  <si>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</si>
  <si>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</si>
  <si>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</si>
  <si>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</si>
  <si>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</si>
  <si>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</si>
  <si>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</si>
  <si>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</si>
  <si>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</si>
  <si>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</si>
  <si>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</si>
  <si>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</si>
  <si>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</si>
  <si>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</si>
  <si>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</si>
  <si>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</si>
  <si>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</si>
  <si>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</si>
  <si>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</si>
  <si>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</si>
  <si>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</si>
  <si>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</si>
  <si>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</si>
  <si>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</si>
  <si>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</si>
  <si>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</si>
  <si>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</si>
  <si>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</si>
  <si>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</si>
  <si>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</si>
  <si>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</si>
  <si>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</si>
  <si>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</si>
  <si>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</si>
  <si>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</si>
  <si>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</si>
  <si>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</si>
  <si>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</si>
  <si>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</si>
  <si>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</si>
  <si>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</si>
  <si>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</si>
  <si>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</si>
  <si>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</si>
  <si>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</si>
  <si>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</si>
  <si>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</si>
  <si>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</si>
  <si>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</si>
  <si>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</si>
  <si>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</si>
  <si>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</si>
  <si>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</si>
  <si>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</si>
  <si>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</si>
  <si>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</si>
  <si>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</si>
  <si>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</si>
  <si>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</si>
  <si>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</si>
  <si>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</si>
  <si>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</si>
  <si>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</si>
  <si>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</si>
  <si>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</si>
  <si>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</si>
  <si>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</si>
  <si>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</si>
  <si>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</si>
  <si>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</si>
  <si>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</si>
  <si>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</si>
  <si>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</si>
  <si>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</si>
  <si>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</si>
  <si>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</si>
  <si>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</si>
  <si>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</si>
  <si>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</si>
  <si>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</si>
  <si>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</si>
  <si>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</si>
  <si>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</si>
  <si>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</si>
  <si>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</si>
  <si>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</si>
  <si>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</si>
  <si>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</si>
  <si>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</si>
  <si>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</si>
  <si>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</si>
  <si>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</si>
  <si>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</si>
  <si>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</si>
  <si>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</si>
  <si>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</si>
  <si>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</si>
  <si>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</si>
  <si>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</si>
  <si>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</si>
  <si>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</si>
  <si>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</si>
  <si>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</si>
  <si>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</si>
  <si>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</si>
  <si>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</si>
  <si>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</si>
  <si>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</si>
  <si>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</si>
  <si>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</si>
  <si>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</si>
  <si>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</si>
  <si>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</si>
  <si>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</si>
  <si>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</si>
  <si>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</si>
  <si>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</si>
  <si>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</si>
  <si>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</si>
  <si>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</si>
  <si>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</si>
  <si>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</si>
  <si>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</si>
  <si>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</si>
  <si>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</si>
  <si>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</si>
  <si>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</si>
  <si>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</si>
  <si>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</si>
  <si>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</si>
  <si>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</si>
  <si>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</si>
  <si>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</si>
  <si>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</si>
  <si>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</si>
  <si>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</si>
  <si>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</si>
  <si>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</si>
  <si>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</si>
  <si>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</si>
  <si>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</si>
  <si>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</si>
  <si>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</si>
  <si>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</si>
  <si>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</si>
  <si>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</si>
  <si>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</si>
  <si>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</si>
  <si>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</si>
  <si>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</si>
  <si>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</si>
  <si>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</si>
  <si>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</si>
  <si>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</si>
  <si>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</si>
  <si>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</si>
  <si>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</si>
  <si>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</si>
  <si>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</si>
  <si>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</si>
  <si>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</si>
  <si>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</si>
  <si>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</si>
  <si>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</si>
  <si>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</si>
  <si>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</si>
  <si>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</si>
  <si>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</si>
  <si>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</si>
  <si>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</si>
  <si>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</si>
  <si>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</si>
  <si>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</si>
  <si>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</si>
  <si>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</si>
  <si>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</si>
  <si>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</si>
  <si>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</si>
  <si>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</si>
  <si>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</si>
  <si>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</si>
  <si>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</si>
  <si>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</si>
  <si>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</si>
  <si>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</si>
  <si>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</si>
  <si>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</si>
  <si>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</si>
  <si>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</si>
  <si>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</si>
  <si>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</si>
  <si>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</si>
  <si>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</si>
  <si>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</si>
  <si>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</si>
  <si>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</si>
  <si>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</si>
  <si>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</si>
  <si>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</si>
  <si>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</si>
  <si>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</si>
  <si>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</si>
  <si>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</si>
  <si>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</si>
  <si>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</si>
  <si>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</si>
  <si>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</si>
  <si>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</si>
  <si>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</si>
  <si>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</si>
  <si>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</si>
  <si>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</si>
  <si>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</si>
  <si>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</si>
  <si>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</si>
  <si>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</si>
  <si>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</si>
  <si>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</si>
  <si>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</si>
  <si>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</si>
  <si>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</si>
  <si>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</si>
  <si>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</si>
  <si>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</si>
  <si>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</si>
  <si>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</si>
  <si>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</si>
  <si>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</si>
  <si>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</si>
  <si>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</si>
  <si>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</si>
  <si>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</si>
  <si>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</si>
  <si>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</si>
  <si>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</si>
  <si>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</si>
  <si>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</si>
  <si>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</si>
  <si>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</si>
  <si>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</si>
  <si>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</si>
  <si>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</si>
  <si>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</si>
  <si>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</si>
  <si>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</si>
  <si>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</si>
  <si>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</si>
  <si>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</si>
  <si>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</si>
  <si>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</si>
  <si>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</si>
  <si>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</si>
  <si>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</si>
  <si>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</si>
  <si>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</si>
  <si>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</si>
  <si>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</si>
  <si>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</si>
  <si>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</si>
  <si>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</si>
  <si>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</si>
  <si>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</si>
  <si>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</si>
  <si>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</si>
  <si>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</si>
  <si>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</si>
  <si>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</si>
  <si>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</si>
  <si>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</si>
  <si>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</si>
  <si>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</si>
  <si>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</si>
  <si>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</si>
  <si>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</si>
  <si>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</si>
  <si>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</si>
  <si>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</si>
  <si>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</si>
  <si>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</si>
  <si>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</si>
  <si>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</si>
  <si>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</si>
  <si>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</si>
  <si>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</si>
  <si>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</si>
  <si>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</si>
  <si>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</si>
  <si>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</si>
  <si>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</si>
  <si>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</si>
  <si>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</si>
  <si>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</si>
  <si>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</si>
  <si>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</si>
  <si>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</si>
  <si>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</si>
  <si>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</si>
  <si>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</si>
  <si>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</si>
  <si>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</si>
  <si>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</si>
  <si>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</si>
  <si>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</si>
  <si>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</si>
  <si>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</si>
  <si>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</si>
  <si>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</si>
  <si>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</si>
  <si>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</si>
  <si>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</si>
  <si>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</si>
  <si>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</si>
  <si>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</si>
  <si>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</si>
  <si>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</si>
  <si>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</si>
  <si>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</si>
  <si>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</si>
  <si>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</si>
  <si>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</si>
  <si>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</si>
  <si>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</si>
  <si>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</si>
  <si>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</si>
  <si>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</si>
  <si>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</si>
  <si>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</si>
  <si>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</si>
  <si>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</si>
  <si>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</si>
  <si>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</si>
  <si>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</si>
  <si>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</si>
  <si>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</si>
  <si>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</si>
  <si>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</si>
  <si>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</si>
  <si>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</si>
  <si>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</si>
  <si>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</si>
  <si>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</si>
  <si>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</si>
  <si>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</si>
  <si>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</si>
  <si>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</si>
  <si>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</si>
  <si>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</si>
  <si>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</si>
  <si>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</si>
  <si>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</si>
  <si>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</si>
  <si>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</si>
  <si>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</si>
  <si>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</si>
  <si>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</si>
  <si>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</si>
  <si>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</si>
  <si>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</si>
  <si>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</si>
  <si>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</si>
  <si>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</si>
  <si>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</si>
  <si>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</si>
  <si>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</si>
  <si>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</si>
  <si>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</si>
  <si>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</si>
  <si>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</si>
  <si>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</si>
  <si>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</si>
  <si>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</si>
  <si>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</si>
  <si>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</si>
  <si>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</si>
  <si>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</si>
  <si>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</si>
  <si>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</si>
  <si>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</si>
  <si>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</si>
  <si>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</si>
  <si>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</si>
  <si>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</si>
  <si>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</si>
  <si>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</si>
  <si>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</si>
  <si>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</si>
  <si>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</si>
  <si>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</si>
  <si>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</si>
  <si>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</si>
  <si>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</si>
  <si>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</si>
  <si>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</si>
  <si>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</si>
  <si>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</si>
  <si>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</si>
  <si>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</si>
  <si>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</si>
  <si>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</si>
  <si>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</si>
  <si>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</si>
  <si>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</si>
  <si>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</si>
  <si>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</si>
  <si>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</si>
  <si>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</si>
  <si>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</si>
  <si>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</si>
  <si>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</si>
  <si>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</si>
  <si>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</si>
  <si>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</si>
  <si>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</si>
  <si>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</si>
  <si>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</si>
  <si>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</si>
  <si>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</si>
  <si>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</si>
  <si>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</si>
  <si>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</si>
  <si>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</si>
  <si>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</si>
  <si>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</si>
  <si>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</si>
  <si>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</si>
  <si>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</si>
  <si>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</si>
  <si>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</si>
  <si>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</si>
  <si>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</si>
  <si>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</si>
  <si>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</si>
  <si>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</si>
  <si>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</si>
  <si>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</si>
  <si>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</si>
  <si>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</si>
  <si>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</si>
  <si>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</si>
  <si>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</si>
  <si>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</si>
  <si>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</si>
  <si>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</si>
  <si>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</si>
  <si>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</si>
  <si>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</si>
  <si>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</si>
  <si>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</si>
  <si>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</si>
  <si>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</si>
  <si>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</si>
  <si>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</si>
  <si>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</si>
  <si>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</si>
  <si>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</si>
  <si>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</si>
  <si>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</si>
  <si>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</si>
  <si>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</si>
  <si>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</si>
  <si>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</si>
  <si>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</si>
  <si>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</si>
  <si>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</si>
  <si>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</si>
  <si>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</si>
  <si>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</si>
  <si>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</si>
  <si>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</si>
  <si>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</si>
  <si>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</si>
  <si>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</si>
  <si>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</si>
  <si>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</si>
  <si>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</si>
  <si>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</si>
  <si>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</si>
  <si>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</si>
  <si>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</si>
  <si>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</si>
  <si>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</si>
  <si>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</si>
  <si>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</si>
  <si>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</si>
  <si>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</si>
  <si>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</si>
  <si>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</si>
  <si>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</si>
  <si>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</si>
  <si>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</si>
  <si>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</si>
  <si>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</si>
  <si>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</si>
  <si>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</si>
  <si>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</si>
  <si>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</si>
  <si>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</si>
  <si>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</si>
  <si>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</si>
  <si>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</si>
  <si>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</si>
  <si>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</si>
  <si>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</si>
  <si>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</si>
  <si>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</si>
  <si>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</si>
  <si>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</si>
  <si>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</si>
  <si>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</si>
  <si>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</si>
  <si>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</si>
  <si>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</si>
  <si>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</si>
  <si>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</si>
  <si>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</si>
  <si>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</si>
  <si>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</si>
  <si>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</si>
  <si>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</si>
  <si>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</si>
  <si>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</si>
  <si>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</si>
  <si>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</si>
  <si>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</si>
  <si>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</si>
  <si>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</si>
  <si>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</si>
  <si>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</si>
  <si>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</si>
  <si>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</si>
  <si>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</si>
  <si>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</si>
  <si>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</si>
  <si>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</si>
  <si>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</si>
  <si>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</si>
  <si>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</si>
  <si>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</si>
  <si>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</si>
  <si>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</si>
  <si>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</si>
  <si>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</si>
  <si>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</si>
  <si>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</si>
  <si>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</si>
  <si>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</si>
  <si>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</si>
  <si>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</si>
  <si>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</si>
  <si>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</si>
  <si>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</si>
  <si>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</si>
  <si>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</si>
  <si>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</si>
  <si>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</si>
  <si>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</si>
  <si>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</si>
  <si>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</si>
  <si>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</si>
  <si>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</si>
  <si>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</si>
  <si>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</si>
  <si>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</si>
  <si>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</si>
  <si>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</si>
  <si>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</si>
  <si>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</si>
  <si>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</si>
  <si>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</si>
  <si>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</si>
  <si>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</si>
  <si>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</si>
  <si>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</si>
  <si>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</si>
  <si>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</si>
  <si>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</si>
  <si>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</si>
  <si>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</si>
  <si>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</si>
  <si>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</si>
  <si>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</si>
  <si>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</si>
  <si>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</si>
  <si>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</si>
  <si>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</si>
  <si>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</si>
  <si>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</si>
  <si>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</si>
  <si>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</si>
  <si>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</si>
  <si>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</si>
  <si>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</si>
  <si>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</si>
  <si>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</si>
  <si>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</si>
  <si>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</si>
  <si>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</si>
  <si>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</si>
  <si>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</si>
  <si>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</si>
  <si>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</si>
  <si>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</si>
  <si>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</si>
  <si>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</si>
  <si>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</si>
  <si>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</si>
  <si>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</si>
  <si>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</si>
  <si>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</si>
  <si>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</si>
  <si>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</si>
  <si>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</si>
  <si>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</si>
  <si>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</si>
  <si>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</si>
  <si>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</si>
  <si>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</si>
  <si>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</si>
  <si>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</si>
  <si>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</si>
  <si>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</si>
  <si>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</si>
  <si>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</si>
  <si>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</si>
  <si>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</si>
  <si>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</si>
  <si>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</si>
  <si>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</si>
  <si>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</si>
  <si>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</si>
  <si>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</si>
  <si>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</si>
  <si>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</si>
  <si>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</si>
  <si>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</si>
  <si>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</si>
  <si>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</si>
  <si>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</si>
  <si>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</si>
  <si>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</si>
  <si>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</si>
  <si>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</si>
  <si>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</si>
  <si>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</si>
  <si>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</si>
  <si>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</si>
  <si>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</si>
  <si>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</si>
  <si>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</si>
  <si>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</si>
  <si>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</si>
  <si>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</si>
  <si>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</si>
  <si>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</si>
  <si>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</si>
  <si>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</si>
  <si>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</si>
  <si>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</si>
  <si>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</si>
  <si>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</si>
  <si>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</si>
  <si>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</si>
  <si>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</si>
  <si>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</si>
  <si>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</si>
  <si>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</si>
  <si>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</si>
  <si>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</si>
  <si>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</si>
  <si>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</si>
  <si>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</si>
  <si>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</si>
  <si>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</si>
  <si>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</si>
  <si>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</si>
  <si>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</si>
  <si>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</si>
  <si>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</si>
  <si>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</si>
  <si>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</si>
  <si>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</si>
  <si>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</si>
  <si>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</si>
  <si>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</si>
  <si>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</si>
  <si>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</si>
  <si>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</si>
  <si>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</si>
  <si>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</si>
  <si>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</si>
  <si>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</si>
  <si>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</si>
  <si>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</si>
  <si>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</si>
  <si>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</si>
  <si>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</si>
  <si>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</si>
  <si>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</si>
  <si>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</si>
  <si>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</si>
  <si>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</si>
  <si>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</si>
  <si>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</si>
  <si>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</si>
  <si>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</si>
  <si>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</si>
  <si>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</si>
  <si>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</si>
  <si>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</si>
  <si>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</si>
  <si>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</si>
  <si>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</si>
  <si>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</si>
  <si>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</si>
  <si>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</si>
  <si>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</si>
  <si>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</si>
  <si>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</si>
  <si>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</si>
  <si>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</si>
  <si>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</si>
  <si>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</si>
  <si>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</si>
  <si>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</si>
  <si>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</si>
  <si>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</si>
  <si>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</si>
  <si>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</si>
  <si>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</si>
  <si>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</si>
  <si>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</si>
  <si>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</si>
  <si>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</si>
  <si>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</si>
  <si>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</si>
  <si>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</si>
  <si>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</si>
  <si>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</si>
  <si>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</si>
  <si>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</si>
  <si>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</si>
  <si>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</si>
  <si>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</si>
  <si>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</si>
  <si>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</si>
  <si>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</si>
  <si>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</si>
  <si>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</si>
  <si>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</si>
  <si>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</si>
  <si>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</si>
  <si>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</si>
  <si>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</si>
  <si>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</si>
  <si>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</si>
  <si>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</si>
  <si>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</si>
  <si>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</si>
  <si>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</si>
  <si>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</si>
  <si>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</si>
  <si>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</si>
  <si>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</si>
  <si>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</si>
  <si>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</si>
  <si>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</si>
  <si>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</si>
  <si>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</si>
  <si>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</si>
  <si>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</si>
  <si>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</si>
  <si>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</si>
  <si>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</si>
  <si>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</si>
  <si>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</si>
  <si>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</si>
  <si>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</si>
  <si>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</si>
  <si>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</si>
  <si>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</si>
  <si>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</si>
  <si>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</si>
  <si>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</si>
  <si>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</si>
  <si>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</si>
  <si>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</si>
  <si>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</si>
  <si>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</si>
  <si>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</si>
  <si>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</si>
  <si>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</si>
  <si>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</si>
  <si>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</si>
  <si>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</si>
  <si>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</si>
  <si>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</si>
  <si>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</si>
  <si>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</si>
  <si>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</si>
  <si>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</si>
  <si>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</si>
  <si>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</si>
  <si>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</si>
  <si>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</si>
  <si>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</si>
  <si>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</si>
  <si>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</si>
  <si>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</si>
  <si>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</si>
  <si>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</si>
  <si>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</si>
  <si>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</si>
  <si>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</si>
  <si>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</si>
  <si>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</si>
  <si>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</si>
  <si>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</si>
  <si>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</si>
  <si>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</si>
  <si>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</si>
  <si>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</si>
  <si>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</si>
  <si>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</si>
  <si>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</si>
  <si>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</si>
  <si>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</si>
  <si>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</si>
  <si>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</si>
  <si>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</si>
  <si>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</si>
  <si>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</si>
  <si>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</si>
  <si>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</si>
  <si>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</si>
  <si>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</si>
  <si>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</si>
  <si>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</si>
  <si>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</si>
  <si>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</si>
  <si>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</si>
  <si>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</si>
  <si>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</si>
  <si>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</si>
  <si>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</si>
  <si>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</si>
  <si>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</si>
  <si>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</si>
  <si>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</si>
  <si>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</si>
  <si>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</si>
  <si>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</si>
  <si>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</si>
  <si>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</si>
  <si>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</si>
  <si>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</si>
  <si>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</si>
  <si>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</si>
  <si>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</si>
  <si>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</si>
  <si>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</si>
  <si>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</si>
  <si>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</si>
  <si>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</si>
  <si>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</si>
  <si>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</si>
  <si>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</si>
  <si>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</si>
  <si>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</si>
  <si>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</si>
  <si>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</si>
  <si>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</si>
  <si>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</si>
  <si>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</si>
  <si>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</si>
  <si>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</si>
  <si>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</si>
  <si>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</si>
  <si>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</si>
  <si>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</si>
  <si>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</si>
  <si>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</si>
  <si>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</si>
  <si>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</si>
  <si>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</si>
  <si>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</si>
  <si>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</si>
  <si>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</si>
  <si>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</si>
  <si>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</si>
  <si>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</si>
  <si>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</si>
  <si>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</si>
  <si>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</si>
  <si>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</si>
  <si>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</si>
  <si>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</si>
  <si>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</si>
  <si>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</si>
  <si>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</si>
  <si>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</si>
  <si>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</si>
  <si>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</si>
  <si>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</si>
  <si>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</si>
  <si>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</si>
  <si>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</si>
  <si>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</si>
  <si>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</si>
  <si>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</si>
  <si>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</si>
  <si>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</si>
  <si>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</si>
  <si>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</si>
  <si>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</si>
  <si>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</si>
  <si>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</si>
  <si>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</si>
  <si>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</si>
  <si>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</si>
  <si>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</si>
  <si>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</si>
  <si>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</si>
  <si>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</si>
  <si>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</si>
  <si>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</si>
  <si>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</si>
  <si>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</si>
  <si>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</si>
  <si>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</si>
  <si>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</si>
  <si>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</si>
  <si>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</si>
  <si>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</si>
  <si>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</si>
  <si>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</si>
  <si>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</si>
  <si>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</si>
  <si>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</si>
  <si>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</si>
  <si>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</si>
  <si>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</si>
  <si>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</si>
  <si>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</si>
  <si>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</si>
  <si>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</si>
  <si>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</si>
  <si>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</si>
  <si>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</si>
  <si>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</si>
  <si>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</si>
  <si>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</si>
  <si>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</si>
  <si>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</si>
  <si>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</si>
  <si>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</si>
  <si>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</si>
  <si>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</si>
  <si>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</si>
  <si>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</si>
  <si>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</si>
  <si>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</si>
  <si>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</si>
  <si>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</si>
  <si>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</si>
  <si>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</si>
  <si>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</si>
  <si>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</si>
  <si>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</si>
  <si>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</si>
  <si>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</si>
  <si>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</si>
  <si>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</si>
  <si>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</si>
  <si>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</si>
  <si>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</si>
  <si>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</si>
  <si>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</si>
  <si>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</si>
  <si>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</si>
  <si>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</si>
  <si>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</si>
  <si>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</si>
  <si>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</si>
  <si>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</si>
  <si>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</si>
  <si>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</si>
  <si>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</si>
  <si>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</si>
  <si>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</si>
  <si>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</si>
  <si>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</si>
  <si>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</si>
  <si>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</si>
  <si>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</si>
  <si>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</si>
  <si>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</si>
  <si>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</si>
  <si>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</si>
  <si>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</si>
  <si>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</si>
  <si>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</si>
  <si>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</si>
  <si>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</si>
  <si>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</si>
  <si>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</si>
  <si>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</si>
  <si>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</si>
  <si>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</si>
  <si>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</si>
  <si>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</si>
  <si>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</si>
  <si>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</si>
  <si>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</si>
  <si>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</si>
  <si>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</si>
  <si>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</si>
  <si>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</si>
  <si>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</si>
  <si>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</si>
  <si>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</si>
  <si>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</si>
  <si>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</si>
  <si>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</si>
  <si>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</si>
  <si>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</si>
  <si>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</si>
  <si>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</si>
  <si>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</si>
  <si>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</si>
  <si>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</si>
  <si>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</si>
  <si>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</si>
  <si>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</si>
  <si>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</si>
  <si>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</si>
  <si>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</si>
  <si>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</si>
  <si>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</si>
  <si>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</si>
  <si>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</si>
  <si>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</si>
  <si>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</si>
  <si>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</si>
  <si>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</si>
  <si>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</si>
  <si>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</si>
  <si>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</si>
  <si>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</si>
  <si>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</si>
  <si>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</si>
  <si>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</si>
  <si>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</si>
  <si>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</si>
  <si>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</si>
  <si>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</si>
  <si>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</si>
  <si>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</si>
  <si>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</si>
  <si>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</si>
  <si>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</si>
  <si>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</si>
  <si>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</si>
  <si>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</si>
  <si>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</si>
  <si>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</si>
  <si>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</si>
  <si>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</si>
  <si>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</si>
  <si>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</si>
  <si>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</si>
  <si>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</si>
  <si>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</si>
  <si>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</si>
  <si>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</si>
  <si>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</si>
  <si>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</si>
  <si>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</si>
  <si>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</si>
  <si>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</si>
  <si>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</si>
  <si>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</si>
  <si>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</si>
  <si>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</si>
  <si>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</si>
  <si>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</si>
  <si>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</si>
  <si>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</si>
  <si>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</si>
  <si>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</si>
  <si>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</si>
  <si>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</si>
  <si>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</si>
  <si>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</si>
  <si>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</si>
  <si>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</si>
  <si>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</si>
  <si>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</si>
  <si>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</si>
  <si>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</si>
  <si>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</si>
  <si>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</si>
  <si>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</si>
  <si>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</si>
  <si>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</si>
  <si>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</si>
  <si>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</si>
  <si>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</si>
  <si>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</si>
  <si>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</si>
  <si>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</si>
  <si>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</si>
  <si>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</si>
  <si>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</si>
  <si>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</si>
  <si>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</si>
  <si>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</si>
  <si>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</si>
  <si>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</si>
  <si>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</si>
  <si>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</si>
  <si>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</si>
  <si>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</si>
  <si>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</si>
  <si>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</si>
  <si>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</si>
  <si>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</si>
  <si>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</si>
  <si>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</si>
  <si>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</si>
  <si>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</si>
  <si>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</si>
  <si>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</si>
  <si>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</si>
  <si>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</si>
  <si>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</si>
  <si>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</si>
  <si>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</si>
  <si>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</si>
  <si>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</si>
  <si>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</si>
  <si>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</si>
  <si>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</si>
  <si>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</si>
  <si>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</si>
  <si>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</si>
  <si>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</si>
  <si>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</si>
  <si>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</si>
  <si>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</si>
  <si>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</si>
  <si>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</si>
  <si>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</si>
  <si>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</si>
  <si>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</si>
  <si>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</si>
  <si>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</si>
  <si>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</si>
  <si>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</si>
  <si>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</si>
  <si>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</si>
  <si>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</si>
  <si>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</si>
  <si>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</si>
  <si>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</si>
  <si>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</si>
  <si>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</si>
  <si>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</si>
  <si>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</si>
  <si>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</si>
  <si>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</si>
  <si>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</si>
  <si>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</si>
  <si>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</si>
  <si>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</si>
  <si>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</si>
  <si>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</si>
  <si>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</si>
  <si>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</si>
  <si>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</si>
  <si>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</si>
  <si>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</si>
  <si>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</si>
  <si>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</si>
  <si>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</si>
  <si>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</si>
  <si>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</si>
  <si>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</si>
  <si>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</si>
  <si>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</si>
  <si>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</si>
  <si>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</si>
  <si>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</si>
  <si>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</si>
  <si>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</si>
  <si>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</si>
  <si>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</si>
  <si>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</si>
  <si>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</si>
  <si>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</si>
  <si>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</si>
  <si>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</si>
  <si>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</si>
  <si>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</si>
  <si>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</si>
  <si>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</si>
  <si>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</si>
  <si>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</si>
  <si>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</si>
  <si>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</si>
  <si>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</si>
  <si>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</si>
  <si>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</si>
  <si>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</si>
  <si>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</si>
  <si>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</si>
  <si>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</si>
  <si>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</si>
  <si>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</si>
  <si>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</si>
  <si>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</si>
  <si>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</si>
  <si>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</si>
  <si>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</si>
  <si>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</si>
  <si>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</si>
  <si>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</si>
  <si>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</si>
  <si>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</si>
  <si>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</si>
  <si>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</si>
  <si>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</si>
  <si>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</si>
  <si>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</si>
  <si>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</si>
  <si>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</si>
  <si>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</si>
  <si>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</si>
  <si>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</si>
  <si>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</si>
  <si>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</si>
  <si>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</si>
  <si>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</si>
  <si>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</si>
  <si>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</si>
  <si>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</si>
  <si>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</si>
  <si>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</si>
  <si>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</si>
  <si>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</si>
  <si>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</si>
  <si>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</si>
  <si>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</si>
  <si>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</si>
  <si>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</si>
  <si>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</si>
  <si>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</si>
  <si>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</si>
  <si>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</si>
  <si>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</si>
  <si>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</si>
  <si>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</si>
  <si>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</si>
  <si>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</si>
  <si>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</si>
  <si>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</si>
  <si>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</si>
  <si>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</si>
  <si>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</si>
  <si>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</si>
  <si>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</si>
  <si>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</si>
  <si>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</si>
  <si>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</si>
  <si>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</si>
  <si>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</si>
  <si>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</si>
  <si>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</si>
  <si>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</si>
  <si>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</si>
  <si>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</si>
  <si>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</si>
  <si>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</si>
  <si>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</si>
  <si>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</si>
  <si>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</si>
  <si>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</si>
  <si>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</si>
  <si>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</si>
  <si>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</si>
  <si>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</si>
  <si>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</si>
  <si>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</si>
  <si>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</si>
  <si>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</si>
  <si>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</si>
  <si>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</si>
  <si>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</si>
  <si>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</si>
  <si>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</si>
  <si>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</si>
  <si>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</si>
  <si>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</si>
  <si>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</si>
  <si>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</si>
  <si>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</si>
  <si>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</si>
  <si>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</si>
  <si>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</si>
  <si>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</si>
  <si>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</si>
  <si>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</si>
  <si>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</si>
  <si>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</si>
  <si>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</si>
  <si>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</si>
  <si>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</si>
  <si>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</si>
  <si>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</si>
  <si>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</si>
  <si>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</si>
  <si>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</si>
  <si>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</si>
  <si>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</si>
  <si>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</si>
  <si>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</si>
  <si>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</si>
  <si>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</si>
  <si>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</si>
  <si>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</si>
  <si>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</si>
  <si>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</si>
  <si>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</si>
  <si>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</si>
  <si>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</si>
  <si>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</si>
  <si>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</si>
  <si>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</si>
  <si>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</si>
  <si>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</si>
  <si>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</si>
  <si>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</si>
  <si>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</si>
  <si>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</si>
  <si>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</si>
  <si>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</si>
  <si>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</si>
  <si>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</si>
  <si>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</si>
  <si>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</si>
  <si>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</si>
  <si>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</si>
  <si>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</si>
  <si>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</si>
  <si>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</si>
  <si>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</si>
  <si>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</si>
  <si>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</si>
  <si>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</si>
  <si>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</si>
  <si>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</si>
  <si>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</si>
  <si>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</si>
  <si>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</si>
  <si>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</si>
  <si>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</si>
  <si>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</si>
  <si>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</si>
  <si>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</si>
  <si>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</si>
  <si>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</si>
  <si>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</si>
  <si>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</si>
  <si>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</si>
  <si>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</si>
  <si>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</si>
  <si>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</si>
  <si>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</si>
  <si>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</si>
  <si>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</si>
  <si>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</si>
  <si>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</si>
  <si>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</si>
  <si>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</si>
  <si>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</si>
  <si>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</si>
  <si>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</si>
  <si>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</si>
  <si>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</si>
  <si>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</si>
  <si>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</si>
  <si>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</si>
  <si>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</si>
  <si>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</si>
  <si>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</si>
  <si>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</si>
  <si>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</si>
  <si>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</si>
  <si>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</si>
  <si>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</si>
  <si>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</si>
  <si>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</si>
  <si>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</si>
  <si>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</si>
  <si>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</si>
  <si>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</si>
  <si>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</si>
  <si>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</si>
  <si>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</si>
  <si>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</si>
  <si>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</si>
  <si>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</si>
  <si>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</si>
  <si>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</si>
  <si>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</si>
  <si>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</si>
  <si>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</si>
  <si>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Technic Inc.</t>
  </si>
  <si>
    <t>47 Molter Street, Cranston, RI 02910</t>
  </si>
  <si>
    <t>Steven M. Kennelly</t>
  </si>
  <si>
    <t>skennelly@technic.com</t>
  </si>
  <si>
    <t>401-781-6100</t>
  </si>
  <si>
    <t>Director of Quality</t>
  </si>
  <si>
    <t>http://www.technic.com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</si>
</sst>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ennelly@techn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echnic.com/" TargetMode="External"/><Relationship Id="rId4" Type="http://schemas.openxmlformats.org/officeDocument/2006/relationships/hyperlink" Target="mailto:skennelly@techn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3" zoomScalePageLayoutView="70" workbookViewId="0">
      <selection activeCell="H25" sqref="H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15607</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15608</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15609</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15610</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15608</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15611</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15609</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15610</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44580</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489</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v>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9">
        <v>1</v>
      </c>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15612</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12" activePane="bottomLeft" state="frozen"/>
      <selection pane="bottomLeft" activeCell="B17" sqref="B17"/>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689</v>
      </c>
      <c r="B5" s="215" t="str">
        <f ca="1">IF(LEN(A5)=0,"",INDEX('Smelter Look-up'!$A:$A,MATCH($A5,'Smelter Look-up'!$E:$E,0)))</f>
        <v>Gold</v>
      </c>
      <c r="C5" s="219" t="str">
        <f ca="1">IF(LEN(A5)=0,"",INDEX('Smelter Look-up'!$C:$C,MATCH($A5,'Smelter Look-up'!$E:$E,0)))</f>
        <v>Asahi Refining Canada Ltd.</v>
      </c>
      <c r="D5" s="278"/>
      <c r="E5" s="215" t="str">
        <f ca="1">IF(ISERROR($V5),"",OFFSET('Smelter Look-up'!$D$4,$V5-4,0)&amp;"")</f>
        <v>CANADA</v>
      </c>
      <c r="F5" s="215" t="str">
        <f ca="1">IF(ISERROR($V5),"",OFFSET('Smelter Look-up'!$E$4,$V5-4,0))</f>
        <v>CID000924</v>
      </c>
      <c r="G5" s="215" t="str">
        <f ca="1">IF(C5=$X$4,"Enter smelter details",IF(ISERROR($V5),"",OFFSET('Smelter Look-up'!$F$4,$V5-4,0)))</f>
        <v>RMI</v>
      </c>
      <c r="H5" s="216">
        <f ca="1">IF(ISERROR($V5),"",OFFSET('Smelter Look-up'!$G$4,$V5-4,0))</f>
        <v>0</v>
      </c>
      <c r="I5" s="217" t="str">
        <f ca="1">IF(ISERROR($V5),"",OFFSET('Smelter Look-up'!$H$4,$V5-4,0))</f>
        <v>Brampton</v>
      </c>
      <c r="J5" s="217" t="str">
        <f ca="1">IF(ISERROR($V5),"",OFFSET('Smelter Look-up'!$I$4,$V5-4,0))</f>
        <v>Ontario</v>
      </c>
      <c r="K5" s="268"/>
      <c r="L5" s="268"/>
      <c r="M5" s="268"/>
      <c r="N5" s="268"/>
      <c r="O5" s="268"/>
      <c r="P5" s="218"/>
      <c r="Q5" s="269"/>
      <c r="R5" s="215" t="str">
        <f ca="1">IF(ISERROR($V5),"",OFFSET('Smelter Look-up'!$C$4,$V5-4,0)&amp;"")</f>
        <v>Asahi Refining Canada Ltd.</v>
      </c>
      <c r="S5" s="222" t="str">
        <f t="shared" ref="S5" ca="1" si="0">IF(B5="","",IF(ISERROR(MATCH($E5,CL,0)),"Unknown",INDIRECT("'C'!$A$"&amp;MATCH($E5,CL,0)+1)))</f>
        <v>CA</v>
      </c>
      <c r="T5" s="222" t="str">
        <f ca="1">IF(B5="","",IF(ISERROR(MATCH($J5,SorP!$B$1:$B$6230,0)),"",INDIRECT("'SorP'!$A$"&amp;MATCH($J5,SorP!$B$1:$B$6230,0))))</f>
        <v>CA-ON</v>
      </c>
      <c r="U5" s="238"/>
      <c r="V5" s="270">
        <f ca="1">IF(C5="",NA(),MATCH($B5&amp;$C5,'Smelter Look-up'!$J:$J,0))</f>
        <v>27</v>
      </c>
      <c r="W5" s="271"/>
      <c r="X5" s="271">
        <f t="shared" ref="X5" ca="1" si="1">IF(AND(C5="Smelter not listed",OR(LEN(D5)=0,LEN(E5)=0)),1,0)</f>
        <v>0</v>
      </c>
      <c r="Y5" s="271"/>
      <c r="Z5" s="271"/>
      <c r="AB5" s="273" t="str">
        <f t="shared" ref="AB5" ca="1" si="2">B5&amp;C5</f>
        <v>GoldAsahi Refining Canada Ltd.</v>
      </c>
    </row>
    <row r="6" spans="1:34" s="272" customFormat="1" ht="20.100000000000001" customHeight="1">
      <c r="A6" s="324" t="s">
        <v>679</v>
      </c>
      <c r="B6" s="215" t="str">
        <f ca="1">IF(LEN(A6)=0,"",INDEX('Smelter Look-up'!$A:$A,MATCH($A6,'Smelter Look-up'!$E:$E,0)))</f>
        <v>Gold</v>
      </c>
      <c r="C6" s="219" t="str">
        <f ca="1">IF(LEN(A6)=0,"",INDEX('Smelter Look-up'!$C:$C,MATCH($A6,'Smelter Look-up'!$E:$E,0)))</f>
        <v>Heraeus Metals Hong Kong Ltd.</v>
      </c>
      <c r="D6" s="278"/>
      <c r="E6" s="215" t="str">
        <f ca="1">IF(ISERROR($V6),"",OFFSET('Smelter Look-up'!$D$4,$V6-4,0)&amp;"")</f>
        <v>CHINA</v>
      </c>
      <c r="F6" s="215" t="str">
        <f ca="1">IF(ISERROR($V6),"",OFFSET('Smelter Look-up'!$E$4,$V6-4,0))</f>
        <v>CID000707</v>
      </c>
      <c r="G6" s="215" t="str">
        <f ca="1">IF(C6=$X$4,"Enter smelter details",IF(ISERROR($V6),"",OFFSET('Smelter Look-up'!$F$4,$V6-4,0)))</f>
        <v>RMI</v>
      </c>
      <c r="H6" s="216">
        <f ca="1">IF(ISERROR($V6),"",OFFSET('Smelter Look-up'!$G$4,$V6-4,0))</f>
        <v>0</v>
      </c>
      <c r="I6" s="217" t="str">
        <f ca="1">IF(ISERROR($V6),"",OFFSET('Smelter Look-up'!$H$4,$V6-4,0))</f>
        <v>Fanling</v>
      </c>
      <c r="J6" s="217" t="str">
        <f ca="1">IF(ISERROR($V6),"",OFFSET('Smelter Look-up'!$I$4,$V6-4,0))</f>
        <v>Hong Kong SAR</v>
      </c>
      <c r="K6" s="268"/>
      <c r="L6" s="268"/>
      <c r="M6" s="268"/>
      <c r="N6" s="268"/>
      <c r="O6" s="268"/>
      <c r="P6" s="218"/>
      <c r="Q6" s="269"/>
      <c r="R6" s="215" t="str">
        <f ca="1">IF(ISERROR($V6),"",OFFSET('Smelter Look-up'!$C$4,$V6-4,0)&amp;"")</f>
        <v>Heraeus Metals Hong Kong Ltd.</v>
      </c>
      <c r="S6" s="222" t="str">
        <f t="shared" ref="S6:S37" ca="1" si="3">IF(B6="","",IF(ISERROR(MATCH($E6,CL,0)),"Unknown",INDIRECT("'C'!$A$"&amp;MATCH($E6,CL,0)+1)))</f>
        <v>CN</v>
      </c>
      <c r="T6" s="222" t="str">
        <f ca="1">IF(B6="","",IF(ISERROR(MATCH($J6,SorP!$B$1:$B$6230,0)),"",INDIRECT("'SorP'!$A$"&amp;MATCH($J6,SorP!$B$1:$B$6230,0))))</f>
        <v>CN-HK</v>
      </c>
      <c r="U6" s="238"/>
      <c r="V6" s="270">
        <f ca="1">IF(C6="",NA(),MATCH($B6&amp;$C6,'Smelter Look-up'!$J:$J,0))</f>
        <v>103</v>
      </c>
      <c r="W6" s="271"/>
      <c r="X6" s="271">
        <f t="shared" ref="X6:X37" ca="1" si="4">IF(AND(C6="Smelter not listed",OR(LEN(D6)=0,LEN(E6)=0)),1,0)</f>
        <v>0</v>
      </c>
      <c r="Y6" s="271"/>
      <c r="Z6" s="271"/>
      <c r="AB6" s="273" t="str">
        <f t="shared" ref="AB6:AB37" ca="1" si="5">B6&amp;C6</f>
        <v>GoldHeraeus Metals Hong Kong Ltd.</v>
      </c>
    </row>
    <row r="7" spans="1:34" s="272" customFormat="1" ht="20.100000000000001" customHeight="1">
      <c r="A7" s="324" t="s">
        <v>695</v>
      </c>
      <c r="B7" s="215" t="str">
        <f ca="1">IF(LEN(A7)=0,"",INDEX('Smelter Look-up'!$A:$A,MATCH($A7,'Smelter Look-up'!$E:$E,0)))</f>
        <v>Gold</v>
      </c>
      <c r="C7" s="219" t="str">
        <f ca="1">IF(LEN(A7)=0,"",INDEX('Smelter Look-up'!$C:$C,MATCH($A7,'Smelter Look-up'!$E:$E,0)))</f>
        <v>Kennecott Utah Copper LLC</v>
      </c>
      <c r="D7" s="278"/>
      <c r="E7" s="215" t="str">
        <f ca="1">IF(ISERROR($V7),"",OFFSET('Smelter Look-up'!$D$4,$V7-4,0)&amp;"")</f>
        <v>UNITED STATES OF AMERICA</v>
      </c>
      <c r="F7" s="215" t="str">
        <f ca="1">IF(ISERROR($V7),"",OFFSET('Smelter Look-up'!$E$4,$V7-4,0))</f>
        <v>CID000969</v>
      </c>
      <c r="G7" s="215" t="str">
        <f ca="1">IF(C7=$X$4,"Enter smelter details",IF(ISERROR($V7),"",OFFSET('Smelter Look-up'!$F$4,$V7-4,0)))</f>
        <v>RMI</v>
      </c>
      <c r="H7" s="216">
        <f ca="1">IF(ISERROR($V7),"",OFFSET('Smelter Look-up'!$G$4,$V7-4,0))</f>
        <v>0</v>
      </c>
      <c r="I7" s="217" t="str">
        <f ca="1">IF(ISERROR($V7),"",OFFSET('Smelter Look-up'!$H$4,$V7-4,0))</f>
        <v>Magna</v>
      </c>
      <c r="J7" s="217" t="str">
        <f ca="1">IF(ISERROR($V7),"",OFFSET('Smelter Look-up'!$I$4,$V7-4,0))</f>
        <v>Utah</v>
      </c>
      <c r="K7" s="268"/>
      <c r="L7" s="268"/>
      <c r="M7" s="268"/>
      <c r="N7" s="268"/>
      <c r="O7" s="268"/>
      <c r="P7" s="218"/>
      <c r="Q7" s="269"/>
      <c r="R7" s="215" t="str">
        <f ca="1">IF(ISERROR($V7),"",OFFSET('Smelter Look-up'!$C$4,$V7-4,0)&amp;"")</f>
        <v>Kennecott Utah Copper LLC</v>
      </c>
      <c r="S7" s="222" t="str">
        <f t="shared" ca="1" si="3"/>
        <v>US</v>
      </c>
      <c r="T7" s="222" t="str">
        <f ca="1">IF(B7="","",IF(ISERROR(MATCH($J7,SorP!$B$1:$B$6230,0)),"",INDIRECT("'SorP'!$A$"&amp;MATCH($J7,SorP!$B$1:$B$6230,0))))</f>
        <v>US-UT</v>
      </c>
      <c r="U7" s="238"/>
      <c r="V7" s="270">
        <f ca="1">IF(C7="",NA(),MATCH($B7&amp;$C7,'Smelter Look-up'!$J:$J,0))</f>
        <v>133</v>
      </c>
      <c r="W7" s="271"/>
      <c r="X7" s="271">
        <f t="shared" ca="1" si="4"/>
        <v>0</v>
      </c>
      <c r="Y7" s="271"/>
      <c r="Z7" s="271"/>
      <c r="AB7" s="273" t="str">
        <f t="shared" ca="1" si="5"/>
        <v>GoldKennecott Utah Copper LLC</v>
      </c>
    </row>
    <row r="8" spans="1:34" s="272" customFormat="1" ht="20.100000000000001" customHeight="1">
      <c r="A8" s="324" t="s">
        <v>708</v>
      </c>
      <c r="B8" s="215" t="str">
        <f ca="1">IF(LEN(A8)=0,"",INDEX('Smelter Look-up'!$A:$A,MATCH($A8,'Smelter Look-up'!$E:$E,0)))</f>
        <v>Gold</v>
      </c>
      <c r="C8" s="219" t="str">
        <f ca="1">IF(LEN(A8)=0,"",INDEX('Smelter Look-up'!$C:$C,MATCH($A8,'Smelter Look-up'!$E:$E,0)))</f>
        <v>Metalor USA Refining Corporation</v>
      </c>
      <c r="D8" s="278"/>
      <c r="E8" s="215" t="str">
        <f ca="1">IF(ISERROR($V8),"",OFFSET('Smelter Look-up'!$D$4,$V8-4,0)&amp;"")</f>
        <v>UNITED STATES OF AMERICA</v>
      </c>
      <c r="F8" s="215" t="str">
        <f ca="1">IF(ISERROR($V8),"",OFFSET('Smelter Look-up'!$E$4,$V8-4,0))</f>
        <v>CID001157</v>
      </c>
      <c r="G8" s="215" t="str">
        <f ca="1">IF(C8=$X$4,"Enter smelter details",IF(ISERROR($V8),"",OFFSET('Smelter Look-up'!$F$4,$V8-4,0)))</f>
        <v>RMI</v>
      </c>
      <c r="H8" s="216">
        <f ca="1">IF(ISERROR($V8),"",OFFSET('Smelter Look-up'!$G$4,$V8-4,0))</f>
        <v>0</v>
      </c>
      <c r="I8" s="217" t="str">
        <f ca="1">IF(ISERROR($V8),"",OFFSET('Smelter Look-up'!$H$4,$V8-4,0))</f>
        <v>North Attleboro</v>
      </c>
      <c r="J8" s="217" t="str">
        <f ca="1">IF(ISERROR($V8),"",OFFSET('Smelter Look-up'!$I$4,$V8-4,0))</f>
        <v>Massachusetts</v>
      </c>
      <c r="K8" s="268"/>
      <c r="L8" s="268"/>
      <c r="M8" s="268"/>
      <c r="N8" s="268"/>
      <c r="O8" s="268"/>
      <c r="P8" s="218"/>
      <c r="Q8" s="269"/>
      <c r="R8" s="215" t="str">
        <f ca="1">IF(ISERROR($V8),"",OFFSET('Smelter Look-up'!$C$4,$V8-4,0)&amp;"")</f>
        <v>Metalor USA Refining Corporation</v>
      </c>
      <c r="S8" s="222" t="str">
        <f t="shared" ca="1" si="3"/>
        <v>US</v>
      </c>
      <c r="T8" s="222" t="str">
        <f ca="1">IF(B8="","",IF(ISERROR(MATCH($J8,SorP!$B$1:$B$6230,0)),"",INDIRECT("'SorP'!$A$"&amp;MATCH($J8,SorP!$B$1:$B$6230,0))))</f>
        <v>US-MA</v>
      </c>
      <c r="U8" s="238"/>
      <c r="V8" s="270">
        <f ca="1">IF(C8="",NA(),MATCH($B8&amp;$C8,'Smelter Look-up'!$J:$J,0))</f>
        <v>172</v>
      </c>
      <c r="W8" s="271"/>
      <c r="X8" s="271">
        <f t="shared" ca="1" si="4"/>
        <v>0</v>
      </c>
      <c r="Y8" s="271"/>
      <c r="Z8" s="271"/>
      <c r="AB8" s="273" t="str">
        <f t="shared" ca="1" si="5"/>
        <v>GoldMetalor USA Refining Corporation</v>
      </c>
    </row>
    <row r="9" spans="1:34" s="272" customFormat="1" ht="20.100000000000001" customHeight="1">
      <c r="A9" s="324" t="s">
        <v>709</v>
      </c>
      <c r="B9" s="215" t="str">
        <f ca="1">IF(LEN(A9)=0,"",INDEX('Smelter Look-up'!$A:$A,MATCH($A9,'Smelter Look-up'!$E:$E,0)))</f>
        <v>Gold</v>
      </c>
      <c r="C9" s="219" t="str">
        <f ca="1">IF(LEN(A9)=0,"",INDEX('Smelter Look-up'!$C:$C,MATCH($A9,'Smelter Look-up'!$E:$E,0)))</f>
        <v>Metalurgica Met-Mex Penoles S.A. De C.V.</v>
      </c>
      <c r="D9" s="278"/>
      <c r="E9" s="215" t="str">
        <f ca="1">IF(ISERROR($V9),"",OFFSET('Smelter Look-up'!$D$4,$V9-4,0)&amp;"")</f>
        <v>MEXICO</v>
      </c>
      <c r="F9" s="215" t="str">
        <f ca="1">IF(ISERROR($V9),"",OFFSET('Smelter Look-up'!$E$4,$V9-4,0))</f>
        <v>CID001161</v>
      </c>
      <c r="G9" s="215" t="str">
        <f ca="1">IF(C9=$X$4,"Enter smelter details",IF(ISERROR($V9),"",OFFSET('Smelter Look-up'!$F$4,$V9-4,0)))</f>
        <v>RMI</v>
      </c>
      <c r="H9" s="216">
        <f ca="1">IF(ISERROR($V9),"",OFFSET('Smelter Look-up'!$G$4,$V9-4,0))</f>
        <v>0</v>
      </c>
      <c r="I9" s="217" t="str">
        <f ca="1">IF(ISERROR($V9),"",OFFSET('Smelter Look-up'!$H$4,$V9-4,0))</f>
        <v>Torreon</v>
      </c>
      <c r="J9" s="217" t="str">
        <f ca="1">IF(ISERROR($V9),"",OFFSET('Smelter Look-up'!$I$4,$V9-4,0))</f>
        <v>Coahuila de Zaragoza</v>
      </c>
      <c r="K9" s="268"/>
      <c r="L9" s="268"/>
      <c r="M9" s="268"/>
      <c r="N9" s="268"/>
      <c r="O9" s="268"/>
      <c r="P9" s="218"/>
      <c r="Q9" s="269"/>
      <c r="R9" s="215" t="str">
        <f ca="1">IF(ISERROR($V9),"",OFFSET('Smelter Look-up'!$C$4,$V9-4,0)&amp;"")</f>
        <v>Metalurgica Met-Mex Penoles S.A. De C.V.</v>
      </c>
      <c r="S9" s="222" t="str">
        <f t="shared" ca="1" si="3"/>
        <v>MX</v>
      </c>
      <c r="T9" s="222" t="str">
        <f ca="1">IF(B9="","",IF(ISERROR(MATCH($J9,SorP!$B$1:$B$6230,0)),"",INDIRECT("'SorP'!$A$"&amp;MATCH($J9,SorP!$B$1:$B$6230,0))))</f>
        <v>MX-COA</v>
      </c>
      <c r="U9" s="238"/>
      <c r="V9" s="270">
        <f ca="1">IF(C9="",NA(),MATCH($B9&amp;$C9,'Smelter Look-up'!$J:$J,0))</f>
        <v>173</v>
      </c>
      <c r="W9" s="271"/>
      <c r="X9" s="271">
        <f t="shared" ca="1" si="4"/>
        <v>0</v>
      </c>
      <c r="Y9" s="271"/>
      <c r="Z9" s="271"/>
      <c r="AB9" s="273" t="str">
        <f t="shared" ca="1" si="5"/>
        <v>GoldMetalurgica Met-Mex Penoles S.A. De C.V.</v>
      </c>
    </row>
    <row r="10" spans="1:34" s="272" customFormat="1" ht="20.100000000000001" customHeight="1">
      <c r="A10" s="324" t="s">
        <v>724</v>
      </c>
      <c r="B10" s="215" t="s">
        <v>1130</v>
      </c>
      <c r="C10" s="219" t="s">
        <v>913</v>
      </c>
      <c r="D10" s="278"/>
      <c r="E10" s="215" t="s">
        <v>1097</v>
      </c>
      <c r="F10" s="215" t="s">
        <v>724</v>
      </c>
      <c r="G10" s="215" t="s">
        <v>13459</v>
      </c>
      <c r="H10" s="216">
        <f ca="1">IF(ISERROR($V10),"",OFFSET('Smelter Look-up'!$G$4,$V10-4,0))</f>
        <v>0</v>
      </c>
      <c r="I10" s="217" t="s">
        <v>1653</v>
      </c>
      <c r="J10" s="217" t="s">
        <v>1610</v>
      </c>
      <c r="K10" s="268"/>
      <c r="L10" s="268"/>
      <c r="M10" s="268"/>
      <c r="N10" s="268"/>
      <c r="O10" s="268"/>
      <c r="P10" s="218"/>
      <c r="Q10" s="269"/>
      <c r="R10" s="215" t="str">
        <f ca="1">IF(ISERROR($V10),"",OFFSET('Smelter Look-up'!$C$4,$V10-4,0)&amp;"")</f>
        <v>Royal Canadian Mint</v>
      </c>
      <c r="S10" s="222" t="str">
        <f t="shared" ca="1" si="3"/>
        <v>CA</v>
      </c>
      <c r="T10" s="222" t="str">
        <f ca="1">IF(B10="","",IF(ISERROR(MATCH($J10,SorP!$B$1:$B$6230,0)),"",INDIRECT("'SorP'!$A$"&amp;MATCH($J10,SorP!$B$1:$B$6230,0))))</f>
        <v>CA-ON</v>
      </c>
      <c r="U10" s="238"/>
      <c r="V10" s="270">
        <f>IF(C10="",NA(),MATCH($B10&amp;$C10,'Smelter Look-up'!$J:$J,0))</f>
        <v>215</v>
      </c>
      <c r="W10" s="271"/>
      <c r="X10" s="271">
        <f t="shared" si="4"/>
        <v>0</v>
      </c>
      <c r="Y10" s="271"/>
      <c r="Z10" s="271"/>
      <c r="AB10" s="273" t="str">
        <f t="shared" si="5"/>
        <v>GoldRoyal Canadian Mint</v>
      </c>
    </row>
    <row r="11" spans="1:34" s="272" customFormat="1" ht="20.100000000000001" customHeight="1">
      <c r="A11" s="324" t="s">
        <v>775</v>
      </c>
      <c r="B11" s="215" t="str">
        <f ca="1">IF(LEN(A11)=0,"",INDEX('Smelter Look-up'!$A:$A,MATCH($A11,'Smelter Look-up'!$E:$E,0)))</f>
        <v>Tin</v>
      </c>
      <c r="C11" s="219" t="str">
        <f ca="1">IF(LEN(A11)=0,"",INDEX('Smelter Look-up'!$C:$C,MATCH($A11,'Smelter Look-up'!$E:$E,0)))</f>
        <v>Mineracao Taboca S.A.</v>
      </c>
      <c r="D11" s="278"/>
      <c r="E11" s="215" t="str">
        <f ca="1">IF(ISERROR($V11),"",OFFSET('Smelter Look-up'!$D$4,$V11-4,0)&amp;"")</f>
        <v>BRAZIL</v>
      </c>
      <c r="F11" s="215" t="str">
        <f ca="1">IF(ISERROR($V11),"",OFFSET('Smelter Look-up'!$E$4,$V11-4,0))</f>
        <v>CID001173</v>
      </c>
      <c r="G11" s="215" t="str">
        <f ca="1">IF(C11=$X$4,"Enter smelter details",IF(ISERROR($V11),"",OFFSET('Smelter Look-up'!$F$4,$V11-4,0)))</f>
        <v>RMI</v>
      </c>
      <c r="H11" s="216">
        <f ca="1">IF(ISERROR($V11),"",OFFSET('Smelter Look-up'!$G$4,$V11-4,0))</f>
        <v>0</v>
      </c>
      <c r="I11" s="217" t="str">
        <f ca="1">IF(ISERROR($V11),"",OFFSET('Smelter Look-up'!$H$4,$V11-4,0))</f>
        <v>Bairro Guarapiranga</v>
      </c>
      <c r="J11" s="217" t="str">
        <f ca="1">IF(ISERROR($V11),"",OFFSET('Smelter Look-up'!$I$4,$V11-4,0))</f>
        <v>São Paulo</v>
      </c>
      <c r="K11" s="268"/>
      <c r="L11" s="268"/>
      <c r="M11" s="268"/>
      <c r="N11" s="268"/>
      <c r="O11" s="268"/>
      <c r="P11" s="218"/>
      <c r="Q11" s="269"/>
      <c r="R11" s="215" t="str">
        <f ca="1">IF(ISERROR($V11),"",OFFSET('Smelter Look-up'!$C$4,$V11-4,0)&amp;"")</f>
        <v>Mineracao Taboca S.A.</v>
      </c>
      <c r="S11" s="222" t="str">
        <f t="shared" ca="1" si="3"/>
        <v>BR</v>
      </c>
      <c r="T11" s="222" t="str">
        <f ca="1">IF(B11="","",IF(ISERROR(MATCH($J11,SorP!$B$1:$B$6230,0)),"",INDIRECT("'SorP'!$A$"&amp;MATCH($J11,SorP!$B$1:$B$6230,0))))</f>
        <v>BR-SP</v>
      </c>
      <c r="U11" s="238"/>
      <c r="V11" s="270">
        <f ca="1">IF(C11="",NA(),MATCH($B11&amp;$C11,'Smelter Look-up'!$J:$J,0))</f>
        <v>456</v>
      </c>
      <c r="W11" s="271"/>
      <c r="X11" s="271">
        <f t="shared" ca="1" si="4"/>
        <v>0</v>
      </c>
      <c r="Y11" s="271"/>
      <c r="Z11" s="271"/>
      <c r="AB11" s="273" t="str">
        <f t="shared" ca="1" si="5"/>
        <v>TinMineracao Taboca S.A.</v>
      </c>
    </row>
    <row r="12" spans="1:34" s="272" customFormat="1" ht="20.100000000000001" customHeight="1">
      <c r="A12" s="324" t="s">
        <v>804</v>
      </c>
      <c r="B12" s="215" t="str">
        <f ca="1">IF(LEN(A12)=0,"",INDEX('Smelter Look-up'!$A:$A,MATCH($A12,'Smelter Look-up'!$E:$E,0)))</f>
        <v>Tin</v>
      </c>
      <c r="C12" s="219" t="str">
        <f ca="1">IF(LEN(A12)=0,"",INDEX('Smelter Look-up'!$C:$C,MATCH($A12,'Smelter Look-up'!$E:$E,0)))</f>
        <v>PT Timah Tbk Kundur</v>
      </c>
      <c r="D12" s="278"/>
      <c r="E12" s="215" t="str">
        <f ca="1">IF(ISERROR($V12),"",OFFSET('Smelter Look-up'!$D$4,$V12-4,0)&amp;"")</f>
        <v>INDONESIA</v>
      </c>
      <c r="F12" s="215" t="str">
        <f ca="1">IF(ISERROR($V12),"",OFFSET('Smelter Look-up'!$E$4,$V12-4,0))</f>
        <v>CID001477</v>
      </c>
      <c r="G12" s="215" t="str">
        <f ca="1">IF(C12=$X$4,"Enter smelter details",IF(ISERROR($V12),"",OFFSET('Smelter Look-up'!$F$4,$V12-4,0)))</f>
        <v>RMI</v>
      </c>
      <c r="H12" s="216">
        <f ca="1">IF(ISERROR($V12),"",OFFSET('Smelter Look-up'!$G$4,$V12-4,0))</f>
        <v>0</v>
      </c>
      <c r="I12" s="217" t="str">
        <f ca="1">IF(ISERROR($V12),"",OFFSET('Smelter Look-up'!$H$4,$V12-4,0))</f>
        <v>Kundur</v>
      </c>
      <c r="J12" s="217" t="str">
        <f ca="1">IF(ISERROR($V12),"",OFFSET('Smelter Look-up'!$I$4,$V12-4,0))</f>
        <v>Riau</v>
      </c>
      <c r="K12" s="268"/>
      <c r="L12" s="268"/>
      <c r="M12" s="268"/>
      <c r="N12" s="268"/>
      <c r="O12" s="268"/>
      <c r="P12" s="218"/>
      <c r="Q12" s="269"/>
      <c r="R12" s="215" t="str">
        <f ca="1">IF(ISERROR($V12),"",OFFSET('Smelter Look-up'!$C$4,$V12-4,0)&amp;"")</f>
        <v>PT Timah Tbk Kundur</v>
      </c>
      <c r="S12" s="222" t="str">
        <f t="shared" ca="1" si="3"/>
        <v>ID</v>
      </c>
      <c r="T12" s="222" t="str">
        <f ca="1">IF(B12="","",IF(ISERROR(MATCH($J12,SorP!$B$1:$B$6230,0)),"",INDIRECT("'SorP'!$A$"&amp;MATCH($J12,SorP!$B$1:$B$6230,0))))</f>
        <v>ID-RI</v>
      </c>
      <c r="U12" s="238"/>
      <c r="V12" s="270">
        <f ca="1">IF(C12="",NA(),MATCH($B12&amp;$C12,'Smelter Look-up'!$J:$J,0))</f>
        <v>491</v>
      </c>
      <c r="W12" s="271"/>
      <c r="X12" s="271">
        <f t="shared" ca="1" si="4"/>
        <v>0</v>
      </c>
      <c r="Y12" s="271"/>
      <c r="Z12" s="271"/>
      <c r="AB12" s="273" t="str">
        <f t="shared" ca="1" si="5"/>
        <v>TinPT Timah Tbk Kundur</v>
      </c>
    </row>
    <row r="13" spans="1:34" s="272" customFormat="1" ht="20.100000000000001" customHeight="1">
      <c r="A13" s="324" t="s">
        <v>784</v>
      </c>
      <c r="B13" s="215" t="str">
        <f ca="1">IF(LEN(A13)=0,"",INDEX('Smelter Look-up'!$A:$A,MATCH($A13,'Smelter Look-up'!$E:$E,0)))</f>
        <v>Tin</v>
      </c>
      <c r="C13" s="219" t="str">
        <f ca="1">IF(LEN(A13)=0,"",INDEX('Smelter Look-up'!$C:$C,MATCH($A13,'Smelter Look-up'!$E:$E,0)))</f>
        <v>PT Timah Tbk Mentok</v>
      </c>
      <c r="D13" s="278"/>
      <c r="E13" s="215" t="str">
        <f ca="1">IF(ISERROR($V13),"",OFFSET('Smelter Look-up'!$D$4,$V13-4,0)&amp;"")</f>
        <v>INDONESIA</v>
      </c>
      <c r="F13" s="215" t="str">
        <f ca="1">IF(ISERROR($V13),"",OFFSET('Smelter Look-up'!$E$4,$V13-4,0))</f>
        <v>CID001482</v>
      </c>
      <c r="G13" s="215" t="str">
        <f ca="1">IF(C13=$X$4,"Enter smelter details",IF(ISERROR($V13),"",OFFSET('Smelter Look-up'!$F$4,$V13-4,0)))</f>
        <v>RMI</v>
      </c>
      <c r="H13" s="216">
        <f ca="1">IF(ISERROR($V13),"",OFFSET('Smelter Look-up'!$G$4,$V13-4,0))</f>
        <v>0</v>
      </c>
      <c r="I13" s="217" t="str">
        <f ca="1">IF(ISERROR($V13),"",OFFSET('Smelter Look-up'!$H$4,$V13-4,0))</f>
        <v>Mentok</v>
      </c>
      <c r="J13" s="217" t="str">
        <f ca="1">IF(ISERROR($V13),"",OFFSET('Smelter Look-up'!$I$4,$V13-4,0))</f>
        <v>Kepulauan Bangka Belitung</v>
      </c>
      <c r="K13" s="268"/>
      <c r="L13" s="268"/>
      <c r="M13" s="268"/>
      <c r="N13" s="268"/>
      <c r="O13" s="268"/>
      <c r="P13" s="218"/>
      <c r="Q13" s="269"/>
      <c r="R13" s="215" t="str">
        <f ca="1">IF(ISERROR($V13),"",OFFSET('Smelter Look-up'!$C$4,$V13-4,0)&amp;"")</f>
        <v>PT Timah Tbk Mentok</v>
      </c>
      <c r="S13" s="222" t="str">
        <f t="shared" ca="1" si="3"/>
        <v>ID</v>
      </c>
      <c r="T13" s="222" t="str">
        <f ca="1">IF(B13="","",IF(ISERROR(MATCH($J13,SorP!$B$1:$B$6230,0)),"",INDIRECT("'SorP'!$A$"&amp;MATCH($J13,SorP!$B$1:$B$6230,0))))</f>
        <v>ID-BB</v>
      </c>
      <c r="U13" s="238"/>
      <c r="V13" s="270">
        <f ca="1">IF(C13="",NA(),MATCH($B13&amp;$C13,'Smelter Look-up'!$J:$J,0))</f>
        <v>492</v>
      </c>
      <c r="W13" s="271"/>
      <c r="X13" s="271">
        <f t="shared" ca="1" si="4"/>
        <v>0</v>
      </c>
      <c r="Y13" s="271"/>
      <c r="Z13" s="271"/>
      <c r="AB13" s="273" t="str">
        <f t="shared" ca="1" si="5"/>
        <v>TinPT Timah Tbk Mentok</v>
      </c>
    </row>
    <row r="14" spans="1:34" s="272" customFormat="1" ht="20.100000000000001" customHeight="1">
      <c r="A14" s="324" t="s">
        <v>1830</v>
      </c>
      <c r="B14" s="215" t="str">
        <f ca="1">IF(LEN(A14)=0,"",INDEX('Smelter Look-up'!$A:$A,MATCH($A14,'Smelter Look-up'!$E:$E,0)))</f>
        <v>Tin</v>
      </c>
      <c r="C14" s="219" t="str">
        <f ca="1">IF(LEN(A14)=0,"",INDEX('Smelter Look-up'!$C:$C,MATCH($A14,'Smelter Look-up'!$E:$E,0)))</f>
        <v>Metallo Belgium N.V.</v>
      </c>
      <c r="D14" s="278"/>
      <c r="E14" s="215" t="str">
        <f ca="1">IF(ISERROR($V14),"",OFFSET('Smelter Look-up'!$D$4,$V14-4,0)&amp;"")</f>
        <v>BELGIUM</v>
      </c>
      <c r="F14" s="215" t="str">
        <f ca="1">IF(ISERROR($V14),"",OFFSET('Smelter Look-up'!$E$4,$V14-4,0))</f>
        <v>CID002773</v>
      </c>
      <c r="G14" s="215" t="str">
        <f ca="1">IF(C14=$X$4,"Enter smelter details",IF(ISERROR($V14),"",OFFSET('Smelter Look-up'!$F$4,$V14-4,0)))</f>
        <v>RMI</v>
      </c>
      <c r="H14" s="216">
        <f ca="1">IF(ISERROR($V14),"",OFFSET('Smelter Look-up'!$G$4,$V14-4,0))</f>
        <v>0</v>
      </c>
      <c r="I14" s="217" t="str">
        <f ca="1">IF(ISERROR($V14),"",OFFSET('Smelter Look-up'!$H$4,$V14-4,0))</f>
        <v>Beerse</v>
      </c>
      <c r="J14" s="217" t="str">
        <f ca="1">IF(ISERROR($V14),"",OFFSET('Smelter Look-up'!$I$4,$V14-4,0))</f>
        <v>Antwerpen</v>
      </c>
      <c r="K14" s="268"/>
      <c r="L14" s="268"/>
      <c r="M14" s="268"/>
      <c r="N14" s="268"/>
      <c r="O14" s="268"/>
      <c r="P14" s="218"/>
      <c r="Q14" s="269"/>
      <c r="R14" s="215" t="str">
        <f ca="1">IF(ISERROR($V14),"",OFFSET('Smelter Look-up'!$C$4,$V14-4,0)&amp;"")</f>
        <v>Metallo Belgium N.V.</v>
      </c>
      <c r="S14" s="222" t="str">
        <f t="shared" ca="1" si="3"/>
        <v>BE</v>
      </c>
      <c r="T14" s="222" t="str">
        <f ca="1">IF(B14="","",IF(ISERROR(MATCH($J14,SorP!$B$1:$B$6230,0)),"",INDIRECT("'SorP'!$A$"&amp;MATCH($J14,SorP!$B$1:$B$6230,0))))</f>
        <v>BE-VAN</v>
      </c>
      <c r="U14" s="238"/>
      <c r="V14" s="270">
        <f ca="1">IF(C14="",NA(),MATCH($B14&amp;$C14,'Smelter Look-up'!$J:$J,0))</f>
        <v>454</v>
      </c>
      <c r="W14" s="271"/>
      <c r="X14" s="271">
        <f t="shared" ca="1" si="4"/>
        <v>0</v>
      </c>
      <c r="Y14" s="271"/>
      <c r="Z14" s="271"/>
      <c r="AB14" s="273" t="str">
        <f t="shared" ca="1" si="5"/>
        <v>TinMetallo Belgium N.V.</v>
      </c>
    </row>
    <row r="15" spans="1:34" s="272" customFormat="1" ht="20.100000000000001" customHeight="1">
      <c r="A15" s="324" t="s">
        <v>789</v>
      </c>
      <c r="B15" s="215" t="str">
        <f ca="1">IF(LEN(A15)=0,"",INDEX('Smelter Look-up'!$A:$A,MATCH($A15,'Smelter Look-up'!$E:$E,0)))</f>
        <v>Tin</v>
      </c>
      <c r="C15" s="219" t="str">
        <f ca="1">IF(LEN(A15)=0,"",INDEX('Smelter Look-up'!$C:$C,MATCH($A15,'Smelter Look-up'!$E:$E,0)))</f>
        <v>White Solder Metalurgia e Mineracao Ltda.</v>
      </c>
      <c r="D15" s="278"/>
      <c r="E15" s="215" t="str">
        <f ca="1">IF(ISERROR($V15),"",OFFSET('Smelter Look-up'!$D$4,$V15-4,0)&amp;"")</f>
        <v>BRAZIL</v>
      </c>
      <c r="F15" s="215" t="str">
        <f ca="1">IF(ISERROR($V15),"",OFFSET('Smelter Look-up'!$E$4,$V15-4,0))</f>
        <v>CID002036</v>
      </c>
      <c r="G15" s="215" t="str">
        <f ca="1">IF(C15=$X$4,"Enter smelter details",IF(ISERROR($V15),"",OFFSET('Smelter Look-up'!$F$4,$V15-4,0)))</f>
        <v>RMI</v>
      </c>
      <c r="H15" s="216">
        <f ca="1">IF(ISERROR($V15),"",OFFSET('Smelter Look-up'!$G$4,$V15-4,0))</f>
        <v>0</v>
      </c>
      <c r="I15" s="217" t="str">
        <f ca="1">IF(ISERROR($V15),"",OFFSET('Smelter Look-up'!$H$4,$V15-4,0))</f>
        <v>Ariquemes</v>
      </c>
      <c r="J15" s="217" t="str">
        <f ca="1">IF(ISERROR($V15),"",OFFSET('Smelter Look-up'!$I$4,$V15-4,0))</f>
        <v>Rondônia</v>
      </c>
      <c r="K15" s="268"/>
      <c r="L15" s="268"/>
      <c r="M15" s="268"/>
      <c r="N15" s="268"/>
      <c r="O15" s="268"/>
      <c r="P15" s="218"/>
      <c r="Q15" s="269"/>
      <c r="R15" s="215" t="str">
        <f ca="1">IF(ISERROR($V15),"",OFFSET('Smelter Look-up'!$C$4,$V15-4,0)&amp;"")</f>
        <v>White Solder Metalurgia e Mineracao Ltda.</v>
      </c>
      <c r="S15" s="222" t="str">
        <f t="shared" ca="1" si="3"/>
        <v>BR</v>
      </c>
      <c r="T15" s="222" t="str">
        <f ca="1">IF(B15="","",IF(ISERROR(MATCH($J15,SorP!$B$1:$B$6230,0)),"",INDIRECT("'SorP'!$A$"&amp;MATCH($J15,SorP!$B$1:$B$6230,0))))</f>
        <v>BR-RO</v>
      </c>
      <c r="U15" s="238"/>
      <c r="V15" s="270">
        <f ca="1">IF(C15="",NA(),MATCH($B15&amp;$C15,'Smelter Look-up'!$J:$J,0))</f>
        <v>512</v>
      </c>
      <c r="W15" s="271"/>
      <c r="X15" s="271">
        <f t="shared" ca="1" si="4"/>
        <v>0</v>
      </c>
      <c r="Y15" s="271"/>
      <c r="Z15" s="271"/>
      <c r="AB15" s="273" t="str">
        <f t="shared" ca="1" si="5"/>
        <v>TinWhite Solder Metalurgia e Mineracao Ltda.</v>
      </c>
    </row>
    <row r="16" spans="1:34" s="272" customFormat="1" ht="20.100000000000001" customHeight="1">
      <c r="A16" s="324" t="s">
        <v>776</v>
      </c>
      <c r="B16" s="215" t="str">
        <f ca="1">IF(LEN(A16)=0,"",INDEX('Smelter Look-up'!$A:$A,MATCH($A16,'Smelter Look-up'!$E:$E,0)))</f>
        <v>Tin</v>
      </c>
      <c r="C16" s="219" t="str">
        <f ca="1">IF(LEN(A16)=0,"",INDEX('Smelter Look-up'!$C:$C,MATCH($A16,'Smelter Look-up'!$E:$E,0)))</f>
        <v>Minsur</v>
      </c>
      <c r="D16" s="278"/>
      <c r="E16" s="215" t="str">
        <f ca="1">IF(ISERROR($V16),"",OFFSET('Smelter Look-up'!$D$4,$V16-4,0)&amp;"")</f>
        <v>PERU</v>
      </c>
      <c r="F16" s="215" t="str">
        <f ca="1">IF(ISERROR($V16),"",OFFSET('Smelter Look-up'!$E$4,$V16-4,0))</f>
        <v>CID001182</v>
      </c>
      <c r="G16" s="215" t="str">
        <f ca="1">IF(C16=$X$4,"Enter smelter details",IF(ISERROR($V16),"",OFFSET('Smelter Look-up'!$F$4,$V16-4,0)))</f>
        <v>RMI</v>
      </c>
      <c r="H16" s="216">
        <f ca="1">IF(ISERROR($V16),"",OFFSET('Smelter Look-up'!$G$4,$V16-4,0))</f>
        <v>0</v>
      </c>
      <c r="I16" s="217" t="str">
        <f ca="1">IF(ISERROR($V16),"",OFFSET('Smelter Look-up'!$H$4,$V16-4,0))</f>
        <v>Paracas</v>
      </c>
      <c r="J16" s="217" t="str">
        <f ca="1">IF(ISERROR($V16),"",OFFSET('Smelter Look-up'!$I$4,$V16-4,0))</f>
        <v>Ika</v>
      </c>
      <c r="K16" s="268"/>
      <c r="L16" s="268"/>
      <c r="M16" s="268"/>
      <c r="N16" s="268"/>
      <c r="O16" s="268"/>
      <c r="P16" s="218"/>
      <c r="Q16" s="269"/>
      <c r="R16" s="215" t="str">
        <f ca="1">IF(ISERROR($V16),"",OFFSET('Smelter Look-up'!$C$4,$V16-4,0)&amp;"")</f>
        <v>Minsur</v>
      </c>
      <c r="S16" s="222" t="str">
        <f t="shared" ca="1" si="3"/>
        <v>PE</v>
      </c>
      <c r="T16" s="222" t="str">
        <f ca="1">IF(B16="","",IF(ISERROR(MATCH($J16,SorP!$B$1:$B$6230,0)),"",INDIRECT("'SorP'!$A$"&amp;MATCH($J16,SorP!$B$1:$B$6230,0))))</f>
        <v>PE-ICA</v>
      </c>
      <c r="U16" s="238"/>
      <c r="V16" s="270">
        <f ca="1">IF(C16="",NA(),MATCH($B16&amp;$C16,'Smelter Look-up'!$J:$J,0))</f>
        <v>460</v>
      </c>
      <c r="W16" s="271"/>
      <c r="X16" s="271">
        <f t="shared" ca="1" si="4"/>
        <v>0</v>
      </c>
      <c r="Y16" s="271"/>
      <c r="Z16" s="271"/>
      <c r="AB16" s="273" t="str">
        <f t="shared" ca="1" si="5"/>
        <v>TinMinsur</v>
      </c>
    </row>
    <row r="17" spans="1:28" s="272" customFormat="1" ht="20.100000000000001" customHeight="1">
      <c r="A17" s="324" t="s">
        <v>796</v>
      </c>
      <c r="B17" s="215" t="str">
        <f ca="1">IF(LEN(A17)=0,"",INDEX('Smelter Look-up'!$A:$A,MATCH($A17,'Smelter Look-up'!$E:$E,0)))</f>
        <v>Tungsten</v>
      </c>
      <c r="C17" s="219" t="str">
        <f ca="1">IF(LEN(A17)=0,"",INDEX('Smelter Look-up'!$C:$C,MATCH($A17,'Smelter Look-up'!$E:$E,0)))</f>
        <v>Global Tungsten &amp; Powders Corp.</v>
      </c>
      <c r="D17" s="278"/>
      <c r="E17" s="215" t="str">
        <f ca="1">IF(ISERROR($V17),"",OFFSET('Smelter Look-up'!$D$4,$V17-4,0)&amp;"")</f>
        <v>UNITED STATES OF AMERICA</v>
      </c>
      <c r="F17" s="215" t="str">
        <f ca="1">IF(ISERROR($V17),"",OFFSET('Smelter Look-up'!$E$4,$V17-4,0))</f>
        <v>CID000568</v>
      </c>
      <c r="G17" s="215" t="str">
        <f ca="1">IF(C17=$X$4,"Enter smelter details",IF(ISERROR($V17),"",OFFSET('Smelter Look-up'!$F$4,$V17-4,0)))</f>
        <v>RMI</v>
      </c>
      <c r="H17" s="216">
        <f ca="1">IF(ISERROR($V17),"",OFFSET('Smelter Look-up'!$G$4,$V17-4,0))</f>
        <v>0</v>
      </c>
      <c r="I17" s="217" t="str">
        <f ca="1">IF(ISERROR($V17),"",OFFSET('Smelter Look-up'!$H$4,$V17-4,0))</f>
        <v>Towanda</v>
      </c>
      <c r="J17" s="217" t="str">
        <f ca="1">IF(ISERROR($V17),"",OFFSET('Smelter Look-up'!$I$4,$V17-4,0))</f>
        <v>Pennsylvania</v>
      </c>
      <c r="K17" s="268"/>
      <c r="L17" s="268"/>
      <c r="M17" s="268"/>
      <c r="N17" s="268"/>
      <c r="O17" s="268"/>
      <c r="P17" s="218"/>
      <c r="Q17" s="269"/>
      <c r="R17" s="215" t="str">
        <f ca="1">IF(ISERROR($V17),"",OFFSET('Smelter Look-up'!$C$4,$V17-4,0)&amp;"")</f>
        <v>Global Tungsten &amp; Powders Corp.</v>
      </c>
      <c r="S17" s="222" t="str">
        <f t="shared" ca="1" si="3"/>
        <v>US</v>
      </c>
      <c r="T17" s="222" t="str">
        <f ca="1">IF(B17="","",IF(ISERROR(MATCH($J17,SorP!$B$1:$B$6230,0)),"",INDIRECT("'SorP'!$A$"&amp;MATCH($J17,SorP!$B$1:$B$6230,0))))</f>
        <v>US-PA</v>
      </c>
      <c r="U17" s="238"/>
      <c r="V17" s="270">
        <f ca="1">IF(C17="",NA(),MATCH($B17&amp;$C17,'Smelter Look-up'!$J:$J,0))</f>
        <v>560</v>
      </c>
      <c r="W17" s="271"/>
      <c r="X17" s="271">
        <f t="shared" ca="1" si="4"/>
        <v>0</v>
      </c>
      <c r="Y17" s="271"/>
      <c r="Z17" s="271"/>
      <c r="AB17" s="273" t="str">
        <f t="shared" ca="1" si="5"/>
        <v>TungstenGlobal Tungsten &amp; Powders Corp.</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Technic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Steven M. Kennelly</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skennelly@technic.com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401-781-6100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Steven M. Kennelly</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skennelly@technic.com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44580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http://www.technic.com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48" activePane="bottomLeft" state="frozen"/>
      <selection activeCell="A4" sqref="A4"/>
      <selection pane="bottomLeft" activeCell="E454" sqref="E454"/>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060324a1-f66f-4c36-a8ec-beadbf2f4219"/>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Priscilla Wille</cp:lastModifiedBy>
  <cp:lastPrinted>2021-04-29T14:10:21Z</cp:lastPrinted>
  <dcterms:created xsi:type="dcterms:W3CDTF">2010-06-21T21:00:23Z</dcterms:created>
  <dcterms:modified xsi:type="dcterms:W3CDTF">2022-01-19T13:39:54Z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